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S141\Benefits\OPEN ENROLLMENT\2025 OPEN ENROLLMENT\Rates 2025\"/>
    </mc:Choice>
  </mc:AlternateContent>
  <xr:revisionPtr revIDLastSave="0" documentId="13_ncr:1_{2AB9561E-5B9D-46EC-859E-6E28E8CFD371}" xr6:coauthVersionLast="36" xr6:coauthVersionMax="36" xr10:uidLastSave="{00000000-0000-0000-0000-000000000000}"/>
  <bookViews>
    <workbookView xWindow="75" yWindow="0" windowWidth="2085" windowHeight="0" firstSheet="1" activeTab="3" xr2:uid="{00000000-000D-0000-FFFF-FFFF00000000}"/>
  </bookViews>
  <sheets>
    <sheet name="Active" sheetId="21" r:id="rId1"/>
    <sheet name="COBRA" sheetId="24" r:id="rId2"/>
    <sheet name="NonMCHealth Center" sheetId="19" r:id="rId3"/>
    <sheet name="NonMC ConsumerChoice" sheetId="20" r:id="rId4"/>
    <sheet name="MAPD PPO" sheetId="6" r:id="rId5"/>
    <sheet name="MAPD Split Health Center" sheetId="18" r:id="rId6"/>
    <sheet name="MAPD Split CCP" sheetId="22" r:id="rId7"/>
    <sheet name="Split City Pays A andor B" sheetId="23" r:id="rId8"/>
  </sheets>
  <definedNames>
    <definedName name="_xlnm.Print_Area" localSheetId="6">'MAPD Split CCP'!$A:$G</definedName>
    <definedName name="_xlnm.Print_Area" localSheetId="5">'MAPD Split Health Center'!$A:$G</definedName>
    <definedName name="_xlnm.Print_Titles" localSheetId="6">'MAPD Split CCP'!$5:$8</definedName>
    <definedName name="_xlnm.Print_Titles" localSheetId="5">'MAPD Split Health Center'!$5:$8</definedName>
    <definedName name="_xlnm.Print_Titles" localSheetId="3">'NonMC ConsumerChoice'!$2:$7</definedName>
    <definedName name="_xlnm.Print_Titles" localSheetId="2">'NonMCHealth Center'!$2:$7</definedName>
  </definedNames>
  <calcPr calcId="191029"/>
</workbook>
</file>

<file path=xl/calcChain.xml><?xml version="1.0" encoding="utf-8"?>
<calcChain xmlns="http://schemas.openxmlformats.org/spreadsheetml/2006/main">
  <c r="J47" i="19" l="1"/>
  <c r="R44" i="20"/>
  <c r="J46" i="19"/>
  <c r="R42" i="20"/>
  <c r="J45" i="19"/>
  <c r="D51" i="19"/>
  <c r="D50" i="19"/>
  <c r="D49" i="19"/>
  <c r="S43" i="20"/>
  <c r="R43" i="20"/>
  <c r="O25" i="20"/>
  <c r="J20" i="18"/>
  <c r="T11" i="23"/>
  <c r="M14" i="22"/>
  <c r="K14" i="22"/>
  <c r="Q14" i="19"/>
  <c r="P36" i="20"/>
  <c r="P35" i="20"/>
  <c r="P34" i="20"/>
  <c r="P33" i="20"/>
  <c r="P26" i="20"/>
  <c r="P25" i="20"/>
  <c r="P24" i="20"/>
  <c r="P23" i="20"/>
  <c r="O26" i="18" l="1"/>
  <c r="O39" i="18"/>
  <c r="M39" i="18"/>
  <c r="M26" i="18"/>
  <c r="M14" i="18"/>
  <c r="M17" i="23"/>
  <c r="L17" i="23"/>
  <c r="K17" i="23"/>
  <c r="J17" i="23"/>
  <c r="I17" i="23"/>
  <c r="M43" i="18"/>
  <c r="L43" i="18"/>
  <c r="K43" i="18"/>
  <c r="J43" i="18"/>
  <c r="I43" i="18"/>
  <c r="M30" i="18"/>
  <c r="L30" i="18"/>
  <c r="K30" i="18"/>
  <c r="J30" i="18"/>
  <c r="I30" i="18"/>
  <c r="M18" i="18"/>
  <c r="L18" i="18"/>
  <c r="K18" i="18"/>
  <c r="J18" i="18"/>
  <c r="I18" i="18"/>
  <c r="L17" i="18"/>
  <c r="K17" i="18"/>
  <c r="J17" i="18"/>
  <c r="I17" i="18"/>
  <c r="J16" i="23"/>
  <c r="I16" i="23"/>
  <c r="P29" i="18"/>
  <c r="O29" i="18"/>
  <c r="Q29" i="18" s="1"/>
  <c r="N29" i="18"/>
  <c r="M29" i="18"/>
  <c r="L29" i="18"/>
  <c r="K29" i="18"/>
  <c r="J29" i="18"/>
  <c r="I29" i="18"/>
  <c r="L42" i="18"/>
  <c r="K42" i="18"/>
  <c r="J42" i="18"/>
  <c r="I42" i="18"/>
  <c r="O42" i="18"/>
  <c r="P42" i="18" s="1"/>
  <c r="Q42" i="18" s="1"/>
  <c r="N42" i="18"/>
  <c r="M42" i="18"/>
  <c r="L16" i="18"/>
  <c r="L15" i="18"/>
  <c r="L14" i="18"/>
  <c r="L13" i="18"/>
  <c r="L12" i="18"/>
  <c r="L11" i="18"/>
  <c r="J16" i="18"/>
  <c r="J15" i="18"/>
  <c r="J14" i="18"/>
  <c r="J13" i="18"/>
  <c r="J12" i="18"/>
  <c r="J11" i="18"/>
  <c r="L37" i="18"/>
  <c r="L37" i="6"/>
  <c r="L36" i="6"/>
  <c r="L35" i="6"/>
  <c r="L41" i="18"/>
  <c r="L40" i="18"/>
  <c r="L39" i="18"/>
  <c r="L38" i="18"/>
  <c r="L36" i="18"/>
  <c r="J41" i="18"/>
  <c r="J40" i="18"/>
  <c r="J39" i="18"/>
  <c r="J38" i="18"/>
  <c r="J37" i="18"/>
  <c r="J36" i="18"/>
  <c r="L28" i="18"/>
  <c r="L27" i="18"/>
  <c r="L26" i="18"/>
  <c r="L25" i="18"/>
  <c r="L24" i="18"/>
  <c r="L23" i="18"/>
  <c r="J28" i="18"/>
  <c r="J27" i="18"/>
  <c r="J26" i="18"/>
  <c r="J25" i="18"/>
  <c r="J24" i="18"/>
  <c r="J23" i="18"/>
  <c r="N25" i="23"/>
  <c r="M25" i="23"/>
  <c r="N24" i="23"/>
  <c r="M24" i="23"/>
  <c r="N23" i="23"/>
  <c r="M23" i="23"/>
  <c r="N22" i="23"/>
  <c r="M22" i="23"/>
  <c r="N21" i="23"/>
  <c r="M21" i="23"/>
  <c r="N20" i="23"/>
  <c r="M20" i="23"/>
  <c r="N15" i="23"/>
  <c r="M15" i="23"/>
  <c r="N14" i="23"/>
  <c r="M14" i="23"/>
  <c r="N13" i="23"/>
  <c r="M13" i="23"/>
  <c r="N12" i="23"/>
  <c r="M12" i="23"/>
  <c r="N11" i="23"/>
  <c r="M11" i="23"/>
  <c r="N10" i="23"/>
  <c r="M10" i="23"/>
  <c r="S36" i="22" l="1"/>
  <c r="R37" i="22"/>
  <c r="R36" i="22"/>
  <c r="R24" i="22"/>
  <c r="R23" i="22"/>
  <c r="R12" i="22"/>
  <c r="R11" i="22"/>
  <c r="W21" i="23"/>
  <c r="W20" i="23"/>
  <c r="W11" i="23"/>
  <c r="T24" i="18"/>
  <c r="T23" i="18"/>
  <c r="T44" i="19" l="1"/>
  <c r="S44" i="19"/>
  <c r="R44" i="19"/>
  <c r="T43" i="19"/>
  <c r="S43" i="19"/>
  <c r="R43" i="19"/>
  <c r="T42" i="19"/>
  <c r="S42" i="19"/>
  <c r="R42" i="19"/>
  <c r="T41" i="19"/>
  <c r="S41" i="19"/>
  <c r="R41" i="19"/>
  <c r="T36" i="19"/>
  <c r="S36" i="19"/>
  <c r="R36" i="19"/>
  <c r="T35" i="19"/>
  <c r="S35" i="19"/>
  <c r="R35" i="19"/>
  <c r="T34" i="19"/>
  <c r="S34" i="19"/>
  <c r="R34" i="19"/>
  <c r="T33" i="19"/>
  <c r="S33" i="19"/>
  <c r="R33" i="19"/>
  <c r="T26" i="19"/>
  <c r="S26" i="19"/>
  <c r="R26" i="19"/>
  <c r="T25" i="19"/>
  <c r="S25" i="19"/>
  <c r="R25" i="19"/>
  <c r="T24" i="19"/>
  <c r="S24" i="19"/>
  <c r="R24" i="19"/>
  <c r="T23" i="19"/>
  <c r="S23" i="19"/>
  <c r="R23" i="19"/>
  <c r="T16" i="19"/>
  <c r="S16" i="19"/>
  <c r="R16" i="19"/>
  <c r="T15" i="19"/>
  <c r="S15" i="19"/>
  <c r="R15" i="19"/>
  <c r="T14" i="19"/>
  <c r="S14" i="19"/>
  <c r="R14" i="19"/>
  <c r="T13" i="19"/>
  <c r="S13" i="19"/>
  <c r="R13" i="19"/>
  <c r="I19" i="6" l="1"/>
  <c r="J17" i="6"/>
  <c r="I17" i="6"/>
  <c r="Q51" i="20" l="1"/>
  <c r="O51" i="20"/>
  <c r="P51" i="20"/>
  <c r="P50" i="20"/>
  <c r="Q50" i="20"/>
  <c r="O50" i="20"/>
  <c r="P49" i="20"/>
  <c r="Q49" i="20"/>
  <c r="O49" i="20"/>
  <c r="Q13" i="20"/>
  <c r="Q14" i="20"/>
  <c r="Q15" i="20"/>
  <c r="Q16" i="20"/>
  <c r="P16" i="20"/>
  <c r="P15" i="20"/>
  <c r="P14" i="20"/>
  <c r="P13" i="20"/>
  <c r="D44" i="19"/>
  <c r="D43" i="19"/>
  <c r="D42" i="19"/>
  <c r="D41" i="19"/>
  <c r="C16" i="19"/>
  <c r="C15" i="19"/>
  <c r="C14" i="19"/>
  <c r="C13" i="19"/>
  <c r="M51" i="19"/>
  <c r="M49" i="19"/>
  <c r="P49" i="19" s="1"/>
  <c r="O51" i="19"/>
  <c r="O50" i="19"/>
  <c r="O49" i="19"/>
  <c r="P57" i="19"/>
  <c r="P56" i="19"/>
  <c r="P55" i="19"/>
  <c r="P51" i="19"/>
  <c r="P50" i="19"/>
  <c r="P36" i="19"/>
  <c r="P35" i="19"/>
  <c r="P34" i="19"/>
  <c r="P33" i="19"/>
  <c r="P26" i="19"/>
  <c r="P25" i="19"/>
  <c r="P24" i="19"/>
  <c r="P23" i="19"/>
  <c r="P16" i="19"/>
  <c r="P15" i="19"/>
  <c r="P14" i="19"/>
  <c r="P13" i="19"/>
  <c r="M36" i="19" l="1"/>
  <c r="M35" i="19"/>
  <c r="M34" i="19"/>
  <c r="M33" i="19"/>
  <c r="K9" i="21" l="1"/>
  <c r="R16" i="21"/>
  <c r="Q16" i="21"/>
  <c r="R15" i="21"/>
  <c r="Q15" i="21"/>
  <c r="R14" i="21"/>
  <c r="Q14" i="21"/>
  <c r="R13" i="21"/>
  <c r="Q13" i="21"/>
  <c r="R8" i="21"/>
  <c r="R7" i="21"/>
  <c r="R6" i="21"/>
  <c r="R5" i="21"/>
  <c r="Q8" i="21"/>
  <c r="Q7" i="21"/>
  <c r="Q6" i="21"/>
  <c r="Q5" i="21"/>
  <c r="H16" i="21" l="1"/>
  <c r="G16" i="21"/>
  <c r="F16" i="21"/>
  <c r="H15" i="21"/>
  <c r="G15" i="21"/>
  <c r="F15" i="21"/>
  <c r="H14" i="21"/>
  <c r="G14" i="21"/>
  <c r="F14" i="21"/>
  <c r="H13" i="21"/>
  <c r="G13" i="21"/>
  <c r="F13" i="21"/>
  <c r="H8" i="21"/>
  <c r="G8" i="21"/>
  <c r="F8" i="21"/>
  <c r="H7" i="21"/>
  <c r="G7" i="21"/>
  <c r="F7" i="21"/>
  <c r="H6" i="21"/>
  <c r="G6" i="21"/>
  <c r="F6" i="21"/>
  <c r="H5" i="21"/>
  <c r="G5" i="21"/>
  <c r="F5" i="21"/>
  <c r="U37" i="22"/>
  <c r="V36" i="22"/>
  <c r="U36" i="22"/>
  <c r="U24" i="22"/>
  <c r="U23" i="22"/>
  <c r="T13" i="22"/>
  <c r="U12" i="22"/>
  <c r="U11" i="22"/>
  <c r="T11" i="22"/>
  <c r="C36" i="19" l="1"/>
  <c r="C35" i="19"/>
  <c r="C34" i="19"/>
  <c r="C33" i="19"/>
  <c r="C26" i="19"/>
  <c r="C25" i="19"/>
  <c r="C24" i="19"/>
  <c r="C23" i="19"/>
  <c r="W37" i="18"/>
  <c r="W36" i="18"/>
  <c r="W24" i="18"/>
  <c r="W23" i="18"/>
  <c r="T11" i="18" l="1"/>
  <c r="C57" i="19" l="1"/>
  <c r="C56" i="19"/>
  <c r="C55" i="19"/>
  <c r="K15" i="6"/>
  <c r="K14" i="6"/>
  <c r="K13" i="6"/>
  <c r="K19" i="6"/>
  <c r="C58" i="20" l="1"/>
  <c r="C57" i="20"/>
  <c r="C56" i="20"/>
  <c r="C51" i="20"/>
  <c r="C50" i="20"/>
  <c r="C49" i="20"/>
  <c r="C44" i="20"/>
  <c r="C43" i="20"/>
  <c r="C42" i="20"/>
  <c r="C41" i="20"/>
  <c r="O15" i="20" l="1"/>
  <c r="C51" i="19"/>
  <c r="C49" i="19"/>
  <c r="O16" i="20" l="1"/>
  <c r="O14" i="20"/>
  <c r="P44" i="20" l="1"/>
  <c r="P43" i="20"/>
  <c r="P42" i="20"/>
  <c r="P41" i="20"/>
  <c r="P58" i="20"/>
  <c r="Q57" i="20"/>
  <c r="P57" i="20"/>
  <c r="Q56" i="20"/>
  <c r="P56" i="20"/>
  <c r="Q36" i="20"/>
  <c r="Q35" i="20"/>
  <c r="Q34" i="20"/>
  <c r="Q33" i="20"/>
  <c r="Q26" i="20"/>
  <c r="Q25" i="20"/>
  <c r="Q24" i="20"/>
  <c r="Q23" i="20"/>
  <c r="O13" i="20"/>
  <c r="Q51" i="19"/>
  <c r="R51" i="19" s="1"/>
  <c r="Q50" i="19"/>
  <c r="R50" i="19" s="1"/>
  <c r="Q49" i="19"/>
  <c r="R49" i="19" s="1"/>
  <c r="Q36" i="19"/>
  <c r="Q35" i="19"/>
  <c r="Q34" i="19"/>
  <c r="Q33" i="19"/>
  <c r="Q26" i="19"/>
  <c r="Q25" i="19"/>
  <c r="Q24" i="19"/>
  <c r="Q23" i="19"/>
  <c r="Q16" i="19"/>
  <c r="Q15" i="19"/>
  <c r="P44" i="19"/>
  <c r="P43" i="19"/>
  <c r="P42" i="19"/>
  <c r="P41" i="19"/>
  <c r="O16" i="19"/>
  <c r="O15" i="19"/>
  <c r="O13" i="19"/>
  <c r="B18" i="24"/>
  <c r="B17" i="24"/>
  <c r="B16" i="24"/>
  <c r="B15" i="24"/>
  <c r="B8" i="24"/>
  <c r="B7" i="24"/>
  <c r="B6" i="24"/>
  <c r="B5" i="24"/>
  <c r="N8" i="21"/>
  <c r="N7" i="21"/>
  <c r="N6" i="21"/>
  <c r="N5" i="21"/>
  <c r="P16" i="21"/>
  <c r="O16" i="21"/>
  <c r="N16" i="21" s="1"/>
  <c r="P15" i="21"/>
  <c r="O15" i="21"/>
  <c r="N15" i="21" s="1"/>
  <c r="P14" i="21"/>
  <c r="O14" i="21"/>
  <c r="N14" i="21" s="1"/>
  <c r="P13" i="21"/>
  <c r="O13" i="21"/>
  <c r="N13" i="21" s="1"/>
  <c r="P8" i="21"/>
  <c r="O8" i="21"/>
  <c r="P7" i="21"/>
  <c r="O7" i="21"/>
  <c r="P6" i="21"/>
  <c r="O6" i="21"/>
  <c r="P5" i="21"/>
  <c r="O5" i="21"/>
  <c r="M8" i="21"/>
  <c r="M7" i="21"/>
  <c r="M6" i="21"/>
  <c r="M5" i="21"/>
  <c r="O14" i="19" l="1"/>
  <c r="I25" i="19"/>
  <c r="R28" i="22"/>
  <c r="U28" i="22" s="1"/>
  <c r="R27" i="22"/>
  <c r="U27" i="22" s="1"/>
  <c r="R26" i="22"/>
  <c r="U26" i="22" s="1"/>
  <c r="R25" i="22"/>
  <c r="U25" i="22" s="1"/>
  <c r="R41" i="22"/>
  <c r="U41" i="22" s="1"/>
  <c r="R40" i="22"/>
  <c r="U40" i="22" s="1"/>
  <c r="R39" i="22"/>
  <c r="U39" i="22" s="1"/>
  <c r="R38" i="22"/>
  <c r="U38" i="22" s="1"/>
  <c r="R16" i="22"/>
  <c r="U16" i="22" s="1"/>
  <c r="T41" i="18" l="1"/>
  <c r="W41" i="18" s="1"/>
  <c r="T40" i="18"/>
  <c r="W40" i="18" s="1"/>
  <c r="T39" i="18"/>
  <c r="W39" i="18" s="1"/>
  <c r="T38" i="18"/>
  <c r="W38" i="18" s="1"/>
  <c r="V13" i="23"/>
  <c r="Y13" i="23" s="1"/>
  <c r="E34" i="6" l="1"/>
  <c r="V21" i="23"/>
  <c r="E54" i="6" l="1"/>
  <c r="K17" i="6" l="1"/>
  <c r="B21" i="24" l="1"/>
  <c r="B20" i="24"/>
  <c r="B19" i="24"/>
  <c r="B11" i="24"/>
  <c r="C8" i="24"/>
  <c r="B10" i="24"/>
  <c r="B9" i="24"/>
  <c r="C18" i="24"/>
  <c r="C20" i="24" s="1"/>
  <c r="C17" i="24"/>
  <c r="C16" i="24"/>
  <c r="C15" i="24"/>
  <c r="C7" i="24"/>
  <c r="C6" i="24"/>
  <c r="C5" i="24"/>
  <c r="C19" i="24" l="1"/>
  <c r="C21" i="24"/>
  <c r="C9" i="24"/>
  <c r="C10" i="24"/>
  <c r="C11" i="24"/>
  <c r="V11" i="23"/>
  <c r="J58" i="20" l="1"/>
  <c r="I58" i="20"/>
  <c r="H58" i="20"/>
  <c r="J57" i="20"/>
  <c r="I57" i="20"/>
  <c r="H57" i="20"/>
  <c r="J56" i="20"/>
  <c r="I56" i="20"/>
  <c r="H56" i="20"/>
  <c r="J51" i="20"/>
  <c r="I51" i="20"/>
  <c r="H51" i="20"/>
  <c r="J50" i="20"/>
  <c r="I50" i="20"/>
  <c r="H50" i="20"/>
  <c r="J49" i="20"/>
  <c r="I49" i="20"/>
  <c r="H49" i="20"/>
  <c r="I44" i="20"/>
  <c r="H44" i="20"/>
  <c r="H45" i="20" s="1"/>
  <c r="I43" i="20"/>
  <c r="H43" i="20"/>
  <c r="I42" i="20"/>
  <c r="H42" i="20"/>
  <c r="I41" i="20"/>
  <c r="H41" i="20"/>
  <c r="J36" i="20"/>
  <c r="H36" i="20"/>
  <c r="J35" i="20"/>
  <c r="H35" i="20"/>
  <c r="J34" i="20"/>
  <c r="H34" i="20"/>
  <c r="J33" i="20"/>
  <c r="H33" i="20"/>
  <c r="J26" i="20"/>
  <c r="H26" i="20"/>
  <c r="J25" i="20"/>
  <c r="H25" i="20"/>
  <c r="J24" i="20"/>
  <c r="H24" i="20"/>
  <c r="H23" i="20"/>
  <c r="J16" i="20"/>
  <c r="H16" i="20"/>
  <c r="J15" i="20"/>
  <c r="H15" i="20"/>
  <c r="J14" i="20"/>
  <c r="H14" i="20"/>
  <c r="J13" i="20"/>
  <c r="I13" i="20"/>
  <c r="H13" i="20"/>
  <c r="J57" i="19"/>
  <c r="I57" i="19"/>
  <c r="H57" i="19"/>
  <c r="J56" i="19"/>
  <c r="I56" i="19"/>
  <c r="H56" i="19"/>
  <c r="J55" i="19"/>
  <c r="I55" i="19"/>
  <c r="H55" i="19"/>
  <c r="H51" i="19"/>
  <c r="H50" i="19"/>
  <c r="H49" i="19"/>
  <c r="I44" i="19"/>
  <c r="H44" i="19"/>
  <c r="H45" i="19" s="1"/>
  <c r="I43" i="19"/>
  <c r="H43" i="19"/>
  <c r="I42" i="19"/>
  <c r="H42" i="19"/>
  <c r="I41" i="19"/>
  <c r="H41" i="19"/>
  <c r="J36" i="19"/>
  <c r="I36" i="19"/>
  <c r="I37" i="19" s="1"/>
  <c r="H36" i="19"/>
  <c r="J35" i="19"/>
  <c r="I35" i="19"/>
  <c r="H35" i="19"/>
  <c r="J34" i="19"/>
  <c r="I34" i="19"/>
  <c r="H34" i="19"/>
  <c r="J33" i="19"/>
  <c r="I33" i="19"/>
  <c r="H33" i="19"/>
  <c r="J26" i="19"/>
  <c r="I26" i="19"/>
  <c r="H26" i="19"/>
  <c r="J25" i="19"/>
  <c r="H25" i="19"/>
  <c r="J24" i="19"/>
  <c r="J27" i="19" s="1"/>
  <c r="I24" i="19"/>
  <c r="H24" i="19"/>
  <c r="J23" i="19"/>
  <c r="I23" i="19"/>
  <c r="H23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37" i="19" l="1"/>
  <c r="H37" i="19"/>
  <c r="H27" i="19"/>
  <c r="I27" i="19"/>
  <c r="N15" i="6"/>
  <c r="N14" i="6"/>
  <c r="N13" i="6"/>
  <c r="N12" i="6"/>
  <c r="N19" i="6"/>
  <c r="N17" i="6"/>
  <c r="M17" i="6"/>
  <c r="L17" i="6"/>
  <c r="I14" i="20" l="1"/>
  <c r="I16" i="20"/>
  <c r="I15" i="20"/>
  <c r="E26" i="6"/>
  <c r="E25" i="6"/>
  <c r="E24" i="6"/>
  <c r="E23" i="6"/>
  <c r="E29" i="6" l="1"/>
  <c r="E28" i="6"/>
  <c r="H24" i="6"/>
  <c r="H25" i="6"/>
  <c r="H26" i="6"/>
  <c r="E37" i="6"/>
  <c r="E40" i="6" s="1"/>
  <c r="E36" i="6"/>
  <c r="E35" i="6"/>
  <c r="E39" i="6" s="1"/>
  <c r="E15" i="6"/>
  <c r="E14" i="6"/>
  <c r="E13" i="6"/>
  <c r="G12" i="6"/>
  <c r="H35" i="6" l="1"/>
  <c r="H37" i="6"/>
  <c r="H36" i="6"/>
  <c r="E55" i="6"/>
  <c r="E53" i="6"/>
  <c r="V15" i="23" l="1"/>
  <c r="V14" i="23"/>
  <c r="I25" i="23"/>
  <c r="J25" i="23" s="1"/>
  <c r="I24" i="23"/>
  <c r="J24" i="23" s="1"/>
  <c r="I23" i="23"/>
  <c r="J23" i="23" s="1"/>
  <c r="I22" i="23"/>
  <c r="J22" i="23" s="1"/>
  <c r="O21" i="23"/>
  <c r="P21" i="23" s="1"/>
  <c r="I21" i="23"/>
  <c r="J21" i="23" s="1"/>
  <c r="I20" i="23"/>
  <c r="J20" i="23" s="1"/>
  <c r="I13" i="23"/>
  <c r="J13" i="23" s="1"/>
  <c r="I12" i="23"/>
  <c r="J12" i="23" s="1"/>
  <c r="I10" i="23"/>
  <c r="J10" i="23" s="1"/>
  <c r="J39" i="22"/>
  <c r="J38" i="22"/>
  <c r="J36" i="22"/>
  <c r="I14" i="22"/>
  <c r="I13" i="22"/>
  <c r="K12" i="22"/>
  <c r="L12" i="22" s="1"/>
  <c r="I11" i="22"/>
  <c r="S14" i="18"/>
  <c r="S15" i="18"/>
  <c r="S16" i="18"/>
  <c r="M11" i="18" l="1"/>
  <c r="N11" i="18" s="1"/>
  <c r="M16" i="18"/>
  <c r="N16" i="18" s="1"/>
  <c r="N14" i="18"/>
  <c r="M13" i="18"/>
  <c r="N13" i="18" s="1"/>
  <c r="O15" i="23"/>
  <c r="P15" i="23" s="1"/>
  <c r="Y14" i="23"/>
  <c r="O13" i="23"/>
  <c r="P13" i="23" s="1"/>
  <c r="Y15" i="23"/>
  <c r="V15" i="18"/>
  <c r="O12" i="23"/>
  <c r="P12" i="23" s="1"/>
  <c r="I49" i="19" l="1"/>
  <c r="J49" i="19"/>
  <c r="I51" i="19"/>
  <c r="J51" i="19"/>
  <c r="L19" i="6" l="1"/>
  <c r="B55" i="6"/>
  <c r="B54" i="6"/>
  <c r="B53" i="6"/>
  <c r="D47" i="6"/>
  <c r="E47" i="6" s="1"/>
  <c r="D46" i="6"/>
  <c r="E46" i="6" s="1"/>
  <c r="D45" i="6"/>
  <c r="E45" i="6" s="1"/>
  <c r="B37" i="6"/>
  <c r="B36" i="6"/>
  <c r="B34" i="6"/>
  <c r="B26" i="6"/>
  <c r="B25" i="6"/>
  <c r="B24" i="6"/>
  <c r="B23" i="6"/>
  <c r="B15" i="6"/>
  <c r="B14" i="6"/>
  <c r="B13" i="6"/>
  <c r="C12" i="6"/>
  <c r="C54" i="6" l="1"/>
  <c r="F54" i="6" s="1"/>
  <c r="G54" i="6"/>
  <c r="C24" i="6"/>
  <c r="F24" i="6" s="1"/>
  <c r="G24" i="6"/>
  <c r="C26" i="6"/>
  <c r="F26" i="6" s="1"/>
  <c r="G26" i="6"/>
  <c r="C55" i="6"/>
  <c r="F55" i="6" s="1"/>
  <c r="G55" i="6"/>
  <c r="C25" i="6"/>
  <c r="F25" i="6" s="1"/>
  <c r="G25" i="6"/>
  <c r="C36" i="6"/>
  <c r="F36" i="6" s="1"/>
  <c r="G36" i="6"/>
  <c r="G34" i="6"/>
  <c r="F34" i="6"/>
  <c r="C13" i="6"/>
  <c r="F13" i="6" s="1"/>
  <c r="G13" i="6"/>
  <c r="C14" i="6"/>
  <c r="F14" i="6" s="1"/>
  <c r="G14" i="6"/>
  <c r="C37" i="6"/>
  <c r="F37" i="6" s="1"/>
  <c r="G37" i="6"/>
  <c r="G40" i="6" s="1"/>
  <c r="J19" i="6"/>
  <c r="M19" i="6" s="1"/>
  <c r="C15" i="6"/>
  <c r="F15" i="6" s="1"/>
  <c r="G15" i="6"/>
  <c r="C53" i="6"/>
  <c r="F53" i="6" s="1"/>
  <c r="G53" i="6"/>
  <c r="D12" i="6"/>
  <c r="E12" i="6" s="1"/>
  <c r="I12" i="6"/>
  <c r="L12" i="6" s="1"/>
  <c r="F12" i="6"/>
  <c r="D44" i="6"/>
  <c r="E44" i="6" s="1"/>
  <c r="G23" i="6"/>
  <c r="C23" i="6"/>
  <c r="F23" i="6" s="1"/>
  <c r="J12" i="6"/>
  <c r="M12" i="6" s="1"/>
  <c r="B35" i="6"/>
  <c r="F40" i="6" l="1"/>
  <c r="G28" i="6"/>
  <c r="G29" i="6"/>
  <c r="F28" i="6"/>
  <c r="J25" i="6"/>
  <c r="F29" i="6"/>
  <c r="I25" i="6"/>
  <c r="J26" i="6"/>
  <c r="C35" i="6"/>
  <c r="F35" i="6" s="1"/>
  <c r="G35" i="6"/>
  <c r="I26" i="6"/>
  <c r="J37" i="6"/>
  <c r="J36" i="6"/>
  <c r="J24" i="6"/>
  <c r="I37" i="6"/>
  <c r="I36" i="6"/>
  <c r="I24" i="6"/>
  <c r="H53" i="6"/>
  <c r="I35" i="6" l="1"/>
  <c r="F39" i="6"/>
  <c r="J35" i="6"/>
  <c r="G39" i="6"/>
  <c r="I15" i="6"/>
  <c r="I14" i="6"/>
  <c r="I13" i="6"/>
  <c r="J13" i="6" l="1"/>
  <c r="M13" i="6" s="1"/>
  <c r="L13" i="6"/>
  <c r="J14" i="6"/>
  <c r="M14" i="6" s="1"/>
  <c r="L14" i="6"/>
  <c r="J15" i="6"/>
  <c r="M15" i="6" s="1"/>
  <c r="L15" i="6"/>
  <c r="E21" i="23" l="1"/>
  <c r="G21" i="23" s="1"/>
  <c r="W25" i="23"/>
  <c r="Z25" i="23" s="1"/>
  <c r="W24" i="23"/>
  <c r="Z24" i="23" s="1"/>
  <c r="W23" i="23"/>
  <c r="Z23" i="23" s="1"/>
  <c r="W22" i="23"/>
  <c r="V25" i="23"/>
  <c r="Y25" i="23" s="1"/>
  <c r="V24" i="23"/>
  <c r="Y24" i="23" s="1"/>
  <c r="V23" i="23"/>
  <c r="Y23" i="23" s="1"/>
  <c r="E13" i="23"/>
  <c r="E12" i="23"/>
  <c r="V12" i="23"/>
  <c r="W10" i="23"/>
  <c r="X10" i="23" s="1"/>
  <c r="F58" i="20"/>
  <c r="E58" i="20"/>
  <c r="F56" i="20"/>
  <c r="E56" i="20"/>
  <c r="F57" i="19"/>
  <c r="E57" i="19"/>
  <c r="F55" i="19"/>
  <c r="E55" i="19"/>
  <c r="E25" i="23" l="1"/>
  <c r="F25" i="23" s="1"/>
  <c r="O22" i="23"/>
  <c r="P22" i="23" s="1"/>
  <c r="O24" i="23"/>
  <c r="P24" i="23" s="1"/>
  <c r="O25" i="23"/>
  <c r="P25" i="23" s="1"/>
  <c r="E23" i="23"/>
  <c r="G23" i="23" s="1"/>
  <c r="O23" i="23"/>
  <c r="P23" i="23" s="1"/>
  <c r="E20" i="23"/>
  <c r="G20" i="23" s="1"/>
  <c r="O20" i="23"/>
  <c r="P20" i="23" s="1"/>
  <c r="E10" i="23"/>
  <c r="F10" i="23" s="1"/>
  <c r="O10" i="23"/>
  <c r="P10" i="23" s="1"/>
  <c r="O11" i="23"/>
  <c r="P11" i="23" s="1"/>
  <c r="O14" i="23"/>
  <c r="P14" i="23" s="1"/>
  <c r="K13" i="23"/>
  <c r="L13" i="23" s="1"/>
  <c r="K10" i="23"/>
  <c r="L10" i="23" s="1"/>
  <c r="K12" i="23"/>
  <c r="L12" i="23" s="1"/>
  <c r="X25" i="23"/>
  <c r="E22" i="23"/>
  <c r="G22" i="23" s="1"/>
  <c r="C20" i="23"/>
  <c r="E24" i="23"/>
  <c r="C24" i="23"/>
  <c r="X20" i="23"/>
  <c r="C22" i="23"/>
  <c r="C25" i="23"/>
  <c r="W27" i="23"/>
  <c r="C23" i="23"/>
  <c r="X24" i="23"/>
  <c r="AA24" i="23" s="1"/>
  <c r="V27" i="23"/>
  <c r="F21" i="23"/>
  <c r="X21" i="23"/>
  <c r="X22" i="23"/>
  <c r="C21" i="23"/>
  <c r="D21" i="23" s="1"/>
  <c r="X23" i="23"/>
  <c r="G13" i="23"/>
  <c r="F13" i="23"/>
  <c r="C39" i="22"/>
  <c r="C38" i="22"/>
  <c r="C36" i="22"/>
  <c r="C42" i="22"/>
  <c r="C26" i="22"/>
  <c r="C28" i="22"/>
  <c r="C23" i="22"/>
  <c r="D23" i="22" s="1"/>
  <c r="C24" i="22"/>
  <c r="Q20" i="23" l="1"/>
  <c r="AA23" i="23"/>
  <c r="Q23" i="23"/>
  <c r="AA25" i="23"/>
  <c r="F22" i="23"/>
  <c r="D22" i="23"/>
  <c r="H22" i="23" s="1"/>
  <c r="G10" i="23"/>
  <c r="D20" i="23"/>
  <c r="H20" i="23" s="1"/>
  <c r="H21" i="23"/>
  <c r="F23" i="23"/>
  <c r="Q25" i="23"/>
  <c r="Q22" i="23"/>
  <c r="F20" i="23"/>
  <c r="Q24" i="23"/>
  <c r="Q21" i="23"/>
  <c r="D23" i="23"/>
  <c r="H23" i="23" s="1"/>
  <c r="K20" i="23"/>
  <c r="L20" i="23" s="1"/>
  <c r="K23" i="23"/>
  <c r="L23" i="23" s="1"/>
  <c r="K22" i="23"/>
  <c r="L22" i="23" s="1"/>
  <c r="K24" i="23"/>
  <c r="L24" i="23" s="1"/>
  <c r="K21" i="23"/>
  <c r="L21" i="23" s="1"/>
  <c r="K25" i="23"/>
  <c r="L25" i="23" s="1"/>
  <c r="W15" i="23"/>
  <c r="Z15" i="23" s="1"/>
  <c r="W14" i="23"/>
  <c r="Z14" i="23" s="1"/>
  <c r="W12" i="23"/>
  <c r="W13" i="23"/>
  <c r="Z13" i="23" s="1"/>
  <c r="T13" i="18"/>
  <c r="T27" i="18"/>
  <c r="W27" i="18" s="1"/>
  <c r="T28" i="18"/>
  <c r="W28" i="18" s="1"/>
  <c r="T25" i="18"/>
  <c r="W25" i="18" s="1"/>
  <c r="T26" i="18"/>
  <c r="W26" i="18" s="1"/>
  <c r="X27" i="23"/>
  <c r="G25" i="23"/>
  <c r="D25" i="23"/>
  <c r="H25" i="23" s="1"/>
  <c r="G24" i="23"/>
  <c r="F24" i="23"/>
  <c r="D24" i="23"/>
  <c r="H24" i="23" s="1"/>
  <c r="F12" i="23"/>
  <c r="G12" i="23"/>
  <c r="C25" i="22"/>
  <c r="C29" i="22"/>
  <c r="C40" i="22"/>
  <c r="C27" i="22"/>
  <c r="C37" i="22"/>
  <c r="C41" i="22"/>
  <c r="I36" i="20"/>
  <c r="I35" i="20"/>
  <c r="I34" i="20"/>
  <c r="I33" i="20"/>
  <c r="I26" i="20"/>
  <c r="I25" i="20"/>
  <c r="I24" i="20"/>
  <c r="R22" i="23" l="1"/>
  <c r="T22" i="23" s="1"/>
  <c r="S22" i="23"/>
  <c r="R21" i="23"/>
  <c r="T21" i="23" s="1"/>
  <c r="S21" i="23"/>
  <c r="R25" i="23"/>
  <c r="T25" i="23" s="1"/>
  <c r="S25" i="23"/>
  <c r="R23" i="23"/>
  <c r="T23" i="23" s="1"/>
  <c r="S23" i="23"/>
  <c r="R24" i="23"/>
  <c r="T24" i="23" s="1"/>
  <c r="S24" i="23"/>
  <c r="R20" i="23"/>
  <c r="T20" i="23" s="1"/>
  <c r="S20" i="23"/>
  <c r="X13" i="23"/>
  <c r="C10" i="23"/>
  <c r="D10" i="23" s="1"/>
  <c r="H10" i="23" s="1"/>
  <c r="C14" i="23"/>
  <c r="X12" i="23"/>
  <c r="Q11" i="23" s="1"/>
  <c r="C11" i="23"/>
  <c r="W17" i="23"/>
  <c r="C15" i="23"/>
  <c r="C12" i="23"/>
  <c r="D12" i="23" s="1"/>
  <c r="H12" i="23" s="1"/>
  <c r="X14" i="23"/>
  <c r="AA14" i="23" s="1"/>
  <c r="C13" i="23"/>
  <c r="D13" i="23" s="1"/>
  <c r="H13" i="23" s="1"/>
  <c r="X15" i="23"/>
  <c r="R11" i="23" l="1"/>
  <c r="S11" i="23"/>
  <c r="Q13" i="23"/>
  <c r="AA15" i="23"/>
  <c r="Q10" i="23"/>
  <c r="AA13" i="23"/>
  <c r="Q15" i="23"/>
  <c r="Q12" i="23"/>
  <c r="Q14" i="23"/>
  <c r="R15" i="22"/>
  <c r="U15" i="22" s="1"/>
  <c r="R14" i="22"/>
  <c r="U14" i="22" s="1"/>
  <c r="R13" i="22"/>
  <c r="U13" i="22" s="1"/>
  <c r="T14" i="18"/>
  <c r="R13" i="23" l="1"/>
  <c r="T13" i="23" s="1"/>
  <c r="S13" i="23"/>
  <c r="R12" i="23"/>
  <c r="T12" i="23" s="1"/>
  <c r="S12" i="23"/>
  <c r="R10" i="23"/>
  <c r="T10" i="23" s="1"/>
  <c r="S10" i="23"/>
  <c r="R15" i="23"/>
  <c r="T15" i="23" s="1"/>
  <c r="S15" i="23"/>
  <c r="R14" i="23"/>
  <c r="T14" i="23" s="1"/>
  <c r="S14" i="23"/>
  <c r="C17" i="18"/>
  <c r="C17" i="22"/>
  <c r="R43" i="22"/>
  <c r="S13" i="22"/>
  <c r="V13" i="22" s="1"/>
  <c r="S11" i="22"/>
  <c r="V11" i="22" s="1"/>
  <c r="Q41" i="22"/>
  <c r="T41" i="22" s="1"/>
  <c r="Q40" i="22"/>
  <c r="T40" i="22" s="1"/>
  <c r="Q39" i="22"/>
  <c r="T39" i="22" s="1"/>
  <c r="Q38" i="22"/>
  <c r="T38" i="22" s="1"/>
  <c r="Q16" i="22"/>
  <c r="T16" i="22" s="1"/>
  <c r="Q15" i="22"/>
  <c r="T15" i="22" s="1"/>
  <c r="Q14" i="22"/>
  <c r="T14" i="22" s="1"/>
  <c r="E14" i="20"/>
  <c r="U14" i="18"/>
  <c r="O11" i="18" s="1"/>
  <c r="P11" i="18" s="1"/>
  <c r="Q11" i="18" s="1"/>
  <c r="S13" i="18"/>
  <c r="C11" i="22"/>
  <c r="C12" i="22"/>
  <c r="C13" i="22"/>
  <c r="C15" i="22"/>
  <c r="C16" i="22"/>
  <c r="C44" i="22"/>
  <c r="C12" i="18"/>
  <c r="T30" i="18"/>
  <c r="T43" i="18"/>
  <c r="S11" i="18"/>
  <c r="E13" i="20"/>
  <c r="F13" i="20"/>
  <c r="F14" i="20"/>
  <c r="E15" i="20"/>
  <c r="F15" i="20"/>
  <c r="E16" i="20"/>
  <c r="F16" i="20"/>
  <c r="E24" i="20"/>
  <c r="F24" i="20"/>
  <c r="E25" i="20"/>
  <c r="F25" i="20"/>
  <c r="E26" i="20"/>
  <c r="F26" i="20"/>
  <c r="E33" i="20"/>
  <c r="F33" i="20"/>
  <c r="E34" i="20"/>
  <c r="F34" i="20"/>
  <c r="E35" i="20"/>
  <c r="F35" i="20"/>
  <c r="E36" i="20"/>
  <c r="F36" i="20"/>
  <c r="J41" i="20"/>
  <c r="J42" i="20"/>
  <c r="J43" i="20"/>
  <c r="J44" i="20"/>
  <c r="E49" i="20"/>
  <c r="F49" i="20"/>
  <c r="E50" i="20"/>
  <c r="F50" i="20"/>
  <c r="E51" i="20"/>
  <c r="F51" i="20"/>
  <c r="E13" i="19"/>
  <c r="F13" i="19"/>
  <c r="E14" i="19"/>
  <c r="F14" i="19"/>
  <c r="E15" i="19"/>
  <c r="F15" i="19"/>
  <c r="E16" i="19"/>
  <c r="F16" i="19"/>
  <c r="S26" i="18"/>
  <c r="E24" i="19"/>
  <c r="F24" i="19"/>
  <c r="E26" i="19"/>
  <c r="F26" i="19"/>
  <c r="E34" i="19"/>
  <c r="F34" i="19"/>
  <c r="E35" i="19"/>
  <c r="F35" i="19"/>
  <c r="E36" i="19"/>
  <c r="F36" i="19"/>
  <c r="J41" i="19"/>
  <c r="J42" i="19"/>
  <c r="J43" i="19"/>
  <c r="J44" i="19"/>
  <c r="E49" i="19"/>
  <c r="F49" i="19"/>
  <c r="E50" i="19"/>
  <c r="F50" i="19"/>
  <c r="E51" i="19"/>
  <c r="F51" i="19"/>
  <c r="E5" i="21"/>
  <c r="E6" i="21"/>
  <c r="E7" i="21"/>
  <c r="E8" i="21"/>
  <c r="E13" i="21"/>
  <c r="E14" i="21"/>
  <c r="E15" i="21"/>
  <c r="E16" i="21"/>
  <c r="C11" i="18"/>
  <c r="V26" i="18" l="1"/>
  <c r="M23" i="18"/>
  <c r="M15" i="18"/>
  <c r="N15" i="18" s="1"/>
  <c r="M12" i="18"/>
  <c r="N12" i="18" s="1"/>
  <c r="J14" i="22"/>
  <c r="J13" i="22"/>
  <c r="J11" i="22"/>
  <c r="M12" i="22"/>
  <c r="N12" i="22" s="1"/>
  <c r="O12" i="22" s="1"/>
  <c r="K11" i="22"/>
  <c r="S15" i="22"/>
  <c r="V15" i="22" s="1"/>
  <c r="K15" i="22"/>
  <c r="L15" i="22" s="1"/>
  <c r="K13" i="22"/>
  <c r="K16" i="22"/>
  <c r="L16" i="22" s="1"/>
  <c r="F41" i="19"/>
  <c r="F44" i="19"/>
  <c r="E43" i="19"/>
  <c r="U13" i="18"/>
  <c r="U26" i="18"/>
  <c r="X26" i="18" s="1"/>
  <c r="U11" i="18"/>
  <c r="K11" i="18" s="1"/>
  <c r="I11" i="18"/>
  <c r="I14" i="18"/>
  <c r="I13" i="18"/>
  <c r="S38" i="22"/>
  <c r="V38" i="22" s="1"/>
  <c r="S39" i="22"/>
  <c r="V39" i="22" s="1"/>
  <c r="S41" i="22"/>
  <c r="V41" i="22" s="1"/>
  <c r="S40" i="22"/>
  <c r="V40" i="22" s="1"/>
  <c r="Q36" i="22"/>
  <c r="T36" i="22" s="1"/>
  <c r="E41" i="20"/>
  <c r="E44" i="20"/>
  <c r="F43" i="20"/>
  <c r="E42" i="20"/>
  <c r="F44" i="20"/>
  <c r="F41" i="20"/>
  <c r="S14" i="22"/>
  <c r="E43" i="20"/>
  <c r="F42" i="20"/>
  <c r="E44" i="19"/>
  <c r="F43" i="19"/>
  <c r="E42" i="19"/>
  <c r="F42" i="19"/>
  <c r="E41" i="19"/>
  <c r="S38" i="18"/>
  <c r="S40" i="18"/>
  <c r="S41" i="18"/>
  <c r="V41" i="18" s="1"/>
  <c r="S39" i="18"/>
  <c r="E33" i="19"/>
  <c r="F33" i="19"/>
  <c r="S28" i="18"/>
  <c r="V28" i="18" s="1"/>
  <c r="F23" i="19"/>
  <c r="S25" i="18"/>
  <c r="E23" i="19"/>
  <c r="Q37" i="22"/>
  <c r="T37" i="22" s="1"/>
  <c r="S36" i="18"/>
  <c r="V36" i="18" s="1"/>
  <c r="E11" i="18" l="1"/>
  <c r="D11" i="18" s="1"/>
  <c r="H11" i="18" s="1"/>
  <c r="V38" i="18"/>
  <c r="M37" i="18"/>
  <c r="V25" i="18"/>
  <c r="M24" i="18"/>
  <c r="E13" i="18"/>
  <c r="G13" i="18" s="1"/>
  <c r="V40" i="18"/>
  <c r="M38" i="18"/>
  <c r="M41" i="18"/>
  <c r="M40" i="18"/>
  <c r="V39" i="18"/>
  <c r="M36" i="18"/>
  <c r="E14" i="18"/>
  <c r="G14" i="18" s="1"/>
  <c r="M11" i="22"/>
  <c r="N11" i="22" s="1"/>
  <c r="V14" i="22"/>
  <c r="L11" i="22"/>
  <c r="O11" i="22" s="1"/>
  <c r="E11" i="22"/>
  <c r="F11" i="22" s="1"/>
  <c r="L13" i="22"/>
  <c r="E13" i="22"/>
  <c r="L14" i="22"/>
  <c r="E14" i="22"/>
  <c r="F14" i="22" s="1"/>
  <c r="M13" i="22"/>
  <c r="N13" i="22" s="1"/>
  <c r="M16" i="22"/>
  <c r="N16" i="22" s="1"/>
  <c r="O16" i="22" s="1"/>
  <c r="M15" i="22"/>
  <c r="N15" i="22" s="1"/>
  <c r="O15" i="22" s="1"/>
  <c r="U25" i="18"/>
  <c r="X25" i="18" s="1"/>
  <c r="U28" i="18"/>
  <c r="X28" i="18" s="1"/>
  <c r="O12" i="18"/>
  <c r="P12" i="18" s="1"/>
  <c r="Q12" i="18" s="1"/>
  <c r="I39" i="22"/>
  <c r="I38" i="22"/>
  <c r="I36" i="22"/>
  <c r="K36" i="22" s="1"/>
  <c r="L36" i="22" s="1"/>
  <c r="I41" i="22"/>
  <c r="I39" i="18"/>
  <c r="I38" i="18"/>
  <c r="I36" i="18"/>
  <c r="I40" i="22"/>
  <c r="K40" i="22" s="1"/>
  <c r="L40" i="22" s="1"/>
  <c r="I37" i="22"/>
  <c r="K37" i="22" s="1"/>
  <c r="L37" i="22" s="1"/>
  <c r="K14" i="18"/>
  <c r="K13" i="18"/>
  <c r="U38" i="18"/>
  <c r="X38" i="18" s="1"/>
  <c r="U39" i="18"/>
  <c r="X39" i="18" s="1"/>
  <c r="U41" i="18"/>
  <c r="X41" i="18" s="1"/>
  <c r="U40" i="18"/>
  <c r="X40" i="18" s="1"/>
  <c r="D36" i="22"/>
  <c r="F13" i="18"/>
  <c r="S12" i="18"/>
  <c r="Q12" i="22"/>
  <c r="F11" i="18"/>
  <c r="G11" i="18"/>
  <c r="S37" i="18"/>
  <c r="Q24" i="22"/>
  <c r="T24" i="22" s="1"/>
  <c r="S24" i="18"/>
  <c r="V24" i="18" s="1"/>
  <c r="E42" i="22"/>
  <c r="Q43" i="22"/>
  <c r="S37" i="22"/>
  <c r="V37" i="22" s="1"/>
  <c r="U36" i="18"/>
  <c r="X36" i="18" s="1"/>
  <c r="S23" i="18"/>
  <c r="V23" i="18" s="1"/>
  <c r="Q23" i="22"/>
  <c r="T23" i="22" s="1"/>
  <c r="F14" i="18" l="1"/>
  <c r="I41" i="18"/>
  <c r="V37" i="18"/>
  <c r="Q18" i="22"/>
  <c r="T12" i="22"/>
  <c r="G41" i="22"/>
  <c r="K41" i="22"/>
  <c r="L41" i="22" s="1"/>
  <c r="G38" i="22"/>
  <c r="K38" i="22"/>
  <c r="L38" i="22" s="1"/>
  <c r="F39" i="22"/>
  <c r="K39" i="22"/>
  <c r="L39" i="22" s="1"/>
  <c r="H36" i="22"/>
  <c r="M36" i="22"/>
  <c r="N36" i="22" s="1"/>
  <c r="O36" i="22" s="1"/>
  <c r="G13" i="22"/>
  <c r="D13" i="22"/>
  <c r="H13" i="22" s="1"/>
  <c r="F13" i="22"/>
  <c r="G11" i="22"/>
  <c r="D11" i="22"/>
  <c r="H11" i="22" s="1"/>
  <c r="G39" i="22"/>
  <c r="G14" i="22"/>
  <c r="O13" i="22"/>
  <c r="G36" i="22"/>
  <c r="F38" i="22"/>
  <c r="D38" i="22"/>
  <c r="I37" i="18"/>
  <c r="I40" i="18"/>
  <c r="I28" i="22"/>
  <c r="K28" i="22" s="1"/>
  <c r="L28" i="22" s="1"/>
  <c r="I23" i="22"/>
  <c r="K23" i="22" s="1"/>
  <c r="L23" i="22" s="1"/>
  <c r="I26" i="22"/>
  <c r="K26" i="22" s="1"/>
  <c r="I25" i="22"/>
  <c r="K25" i="22" s="1"/>
  <c r="K38" i="18"/>
  <c r="K36" i="18"/>
  <c r="K39" i="18"/>
  <c r="E44" i="22"/>
  <c r="G44" i="22" s="1"/>
  <c r="I12" i="22"/>
  <c r="E12" i="22" s="1"/>
  <c r="F12" i="22" s="1"/>
  <c r="I15" i="22"/>
  <c r="E15" i="22" s="1"/>
  <c r="G15" i="22" s="1"/>
  <c r="I16" i="22"/>
  <c r="E16" i="22" s="1"/>
  <c r="F16" i="22" s="1"/>
  <c r="I12" i="18"/>
  <c r="I15" i="18"/>
  <c r="I16" i="18"/>
  <c r="J41" i="22"/>
  <c r="J37" i="22"/>
  <c r="J40" i="22"/>
  <c r="I28" i="18"/>
  <c r="I26" i="18"/>
  <c r="I25" i="18"/>
  <c r="I23" i="18"/>
  <c r="I24" i="18"/>
  <c r="I27" i="18"/>
  <c r="I24" i="22"/>
  <c r="K24" i="22" s="1"/>
  <c r="I27" i="22"/>
  <c r="K27" i="22" s="1"/>
  <c r="I14" i="23"/>
  <c r="J14" i="23" s="1"/>
  <c r="I11" i="23"/>
  <c r="J11" i="23" s="1"/>
  <c r="I15" i="23"/>
  <c r="J15" i="23" s="1"/>
  <c r="D39" i="22"/>
  <c r="F36" i="22"/>
  <c r="D41" i="22"/>
  <c r="F41" i="22"/>
  <c r="E46" i="18"/>
  <c r="F46" i="18" s="1"/>
  <c r="U12" i="18"/>
  <c r="D17" i="18" s="1"/>
  <c r="X11" i="23"/>
  <c r="E15" i="23"/>
  <c r="V17" i="23"/>
  <c r="E11" i="23"/>
  <c r="E14" i="23"/>
  <c r="S12" i="22"/>
  <c r="V12" i="22" s="1"/>
  <c r="E17" i="22"/>
  <c r="S18" i="18"/>
  <c r="S43" i="18"/>
  <c r="U37" i="18"/>
  <c r="X37" i="18" s="1"/>
  <c r="E25" i="19"/>
  <c r="S27" i="18"/>
  <c r="F25" i="19"/>
  <c r="S23" i="22"/>
  <c r="V23" i="22" s="1"/>
  <c r="G40" i="22"/>
  <c r="D40" i="22"/>
  <c r="F40" i="22"/>
  <c r="U23" i="18"/>
  <c r="X23" i="18" s="1"/>
  <c r="F37" i="22"/>
  <c r="G37" i="22"/>
  <c r="D37" i="22"/>
  <c r="U24" i="18"/>
  <c r="X24" i="18" s="1"/>
  <c r="D42" i="22"/>
  <c r="S43" i="22"/>
  <c r="S24" i="22"/>
  <c r="V24" i="22" s="1"/>
  <c r="E16" i="18" l="1"/>
  <c r="G16" i="18" s="1"/>
  <c r="E12" i="18"/>
  <c r="D12" i="18" s="1"/>
  <c r="H12" i="18" s="1"/>
  <c r="V27" i="18"/>
  <c r="M28" i="18"/>
  <c r="M25" i="18"/>
  <c r="M27" i="18"/>
  <c r="E15" i="18"/>
  <c r="F15" i="18" s="1"/>
  <c r="H37" i="22"/>
  <c r="M37" i="22"/>
  <c r="N37" i="22" s="1"/>
  <c r="O37" i="22" s="1"/>
  <c r="H41" i="22"/>
  <c r="M41" i="22"/>
  <c r="N41" i="22" s="1"/>
  <c r="O41" i="22" s="1"/>
  <c r="H39" i="22"/>
  <c r="M39" i="22"/>
  <c r="N39" i="22" s="1"/>
  <c r="O39" i="22" s="1"/>
  <c r="H38" i="22"/>
  <c r="M38" i="22"/>
  <c r="N38" i="22" s="1"/>
  <c r="O38" i="22" s="1"/>
  <c r="H40" i="22"/>
  <c r="M40" i="22"/>
  <c r="N40" i="22" s="1"/>
  <c r="O40" i="22" s="1"/>
  <c r="G16" i="22"/>
  <c r="D16" i="22"/>
  <c r="H16" i="22" s="1"/>
  <c r="G12" i="18"/>
  <c r="G46" i="18"/>
  <c r="D44" i="22"/>
  <c r="H44" i="22" s="1"/>
  <c r="F44" i="22"/>
  <c r="F15" i="22"/>
  <c r="D15" i="22"/>
  <c r="H15" i="22" s="1"/>
  <c r="U27" i="18"/>
  <c r="K12" i="18"/>
  <c r="K15" i="18"/>
  <c r="K16" i="18"/>
  <c r="D17" i="22"/>
  <c r="J15" i="22"/>
  <c r="J12" i="22"/>
  <c r="J16" i="22"/>
  <c r="F16" i="18"/>
  <c r="J28" i="22"/>
  <c r="J23" i="22"/>
  <c r="M23" i="22" s="1"/>
  <c r="J26" i="22"/>
  <c r="J25" i="22"/>
  <c r="K28" i="18"/>
  <c r="K26" i="18"/>
  <c r="K25" i="18"/>
  <c r="K23" i="18"/>
  <c r="D42" i="18"/>
  <c r="K37" i="18"/>
  <c r="K40" i="18"/>
  <c r="J24" i="22"/>
  <c r="J27" i="22"/>
  <c r="K24" i="18"/>
  <c r="K27" i="18"/>
  <c r="K41" i="18"/>
  <c r="X17" i="23"/>
  <c r="K15" i="23"/>
  <c r="L15" i="23" s="1"/>
  <c r="K11" i="23"/>
  <c r="L11" i="23" s="1"/>
  <c r="K14" i="23"/>
  <c r="L14" i="23" s="1"/>
  <c r="G12" i="22"/>
  <c r="D12" i="22"/>
  <c r="H12" i="22" s="1"/>
  <c r="G14" i="23"/>
  <c r="F14" i="23"/>
  <c r="D14" i="23"/>
  <c r="H14" i="23" s="1"/>
  <c r="D11" i="23"/>
  <c r="H11" i="23" s="1"/>
  <c r="F11" i="23"/>
  <c r="G11" i="23"/>
  <c r="S18" i="22"/>
  <c r="D15" i="23"/>
  <c r="H15" i="23" s="1"/>
  <c r="G15" i="23"/>
  <c r="F15" i="23"/>
  <c r="U43" i="18"/>
  <c r="S30" i="18"/>
  <c r="F25" i="22"/>
  <c r="G25" i="22"/>
  <c r="D25" i="22"/>
  <c r="D27" i="22"/>
  <c r="F27" i="22"/>
  <c r="G27" i="22"/>
  <c r="G26" i="22"/>
  <c r="D26" i="22"/>
  <c r="F26" i="22"/>
  <c r="D29" i="18"/>
  <c r="H23" i="22"/>
  <c r="G23" i="22"/>
  <c r="F23" i="22"/>
  <c r="D28" i="22"/>
  <c r="F28" i="22"/>
  <c r="G28" i="22"/>
  <c r="G15" i="18" l="1"/>
  <c r="F12" i="18"/>
  <c r="U30" i="18"/>
  <c r="X27" i="18"/>
  <c r="H25" i="22"/>
  <c r="M25" i="22"/>
  <c r="N25" i="22" s="1"/>
  <c r="H27" i="22"/>
  <c r="M27" i="22"/>
  <c r="N27" i="22" s="1"/>
  <c r="H26" i="22"/>
  <c r="M26" i="22"/>
  <c r="N26" i="22" s="1"/>
  <c r="H28" i="22"/>
  <c r="M28" i="22"/>
  <c r="N28" i="22" s="1"/>
  <c r="O28" i="22" s="1"/>
  <c r="T15" i="18" l="1"/>
  <c r="W15" i="18" s="1"/>
  <c r="C16" i="18" l="1"/>
  <c r="D16" i="18" s="1"/>
  <c r="H16" i="18" s="1"/>
  <c r="C15" i="18"/>
  <c r="D15" i="18" s="1"/>
  <c r="H15" i="18" s="1"/>
  <c r="C13" i="18"/>
  <c r="D13" i="18" s="1"/>
  <c r="H13" i="18" s="1"/>
  <c r="C46" i="18"/>
  <c r="D46" i="18" s="1"/>
  <c r="H46" i="18" s="1"/>
  <c r="U15" i="18"/>
  <c r="T18" i="18"/>
  <c r="S16" i="22"/>
  <c r="T16" i="18"/>
  <c r="C14" i="18" s="1"/>
  <c r="D14" i="18" s="1"/>
  <c r="H14" i="18" s="1"/>
  <c r="N14" i="22" l="1"/>
  <c r="O14" i="22" s="1"/>
  <c r="V16" i="22"/>
  <c r="X15" i="18"/>
  <c r="O16" i="18"/>
  <c r="P16" i="18" s="1"/>
  <c r="Q16" i="18" s="1"/>
  <c r="O15" i="18"/>
  <c r="P15" i="18" s="1"/>
  <c r="Q15" i="18" s="1"/>
  <c r="U18" i="18"/>
  <c r="O13" i="18"/>
  <c r="P13" i="18" s="1"/>
  <c r="Q13" i="18" s="1"/>
  <c r="C14" i="22"/>
  <c r="U16" i="18"/>
  <c r="O14" i="18" s="1"/>
  <c r="P14" i="18" s="1"/>
  <c r="Q14" i="18" s="1"/>
  <c r="D14" i="22" l="1"/>
  <c r="H14" i="22" s="1"/>
  <c r="L24" i="22" l="1"/>
  <c r="G24" i="22"/>
  <c r="D24" i="22"/>
  <c r="H24" i="22" l="1"/>
  <c r="M24" i="22"/>
  <c r="N24" i="22" s="1"/>
  <c r="O24" i="22" s="1"/>
  <c r="F24" i="22"/>
  <c r="L25" i="22" l="1"/>
  <c r="O25" i="22" s="1"/>
  <c r="L27" i="22"/>
  <c r="O27" i="22" s="1"/>
  <c r="N23" i="22"/>
  <c r="O23" i="22" s="1"/>
  <c r="L26" i="22"/>
  <c r="O26" i="22" s="1"/>
  <c r="J23" i="20"/>
  <c r="E23" i="20"/>
  <c r="F23" i="20"/>
  <c r="Q30" i="22"/>
  <c r="Q27" i="22"/>
  <c r="Q25" i="22"/>
  <c r="Q28" i="22"/>
  <c r="I23" i="20"/>
  <c r="Q26" i="22"/>
  <c r="S26" i="22" l="1"/>
  <c r="V26" i="22" s="1"/>
  <c r="T26" i="22"/>
  <c r="S28" i="22"/>
  <c r="V28" i="22" s="1"/>
  <c r="T28" i="22"/>
  <c r="E29" i="22"/>
  <c r="T25" i="22"/>
  <c r="S27" i="22"/>
  <c r="S30" i="22" s="1"/>
  <c r="T27" i="22"/>
  <c r="S25" i="22"/>
  <c r="V27" i="22" l="1"/>
  <c r="D29" i="22"/>
  <c r="V25" i="22"/>
  <c r="N23" i="18"/>
  <c r="E23" i="18"/>
  <c r="D23" i="18" s="1"/>
  <c r="H23" i="18" l="1"/>
  <c r="O23" i="18"/>
  <c r="P23" i="18" s="1"/>
  <c r="Q23" i="18" s="1"/>
  <c r="F23" i="18"/>
  <c r="G23" i="18"/>
  <c r="N24" i="18"/>
  <c r="E24" i="18"/>
  <c r="F24" i="18" s="1"/>
  <c r="D24" i="18" l="1"/>
  <c r="G24" i="18"/>
  <c r="N25" i="18"/>
  <c r="E25" i="18"/>
  <c r="F25" i="18" s="1"/>
  <c r="D25" i="18"/>
  <c r="O25" i="18" s="1"/>
  <c r="P25" i="18" s="1"/>
  <c r="Q25" i="18" s="1"/>
  <c r="N26" i="18"/>
  <c r="E26" i="18"/>
  <c r="D26" i="18" s="1"/>
  <c r="H25" i="18" l="1"/>
  <c r="G25" i="18"/>
  <c r="O24" i="18"/>
  <c r="P24" i="18" s="1"/>
  <c r="Q24" i="18" s="1"/>
  <c r="H24" i="18"/>
  <c r="H26" i="18"/>
  <c r="P26" i="18"/>
  <c r="Q26" i="18" s="1"/>
  <c r="F26" i="18"/>
  <c r="G26" i="18"/>
  <c r="N27" i="18"/>
  <c r="E27" i="18"/>
  <c r="F27" i="18" s="1"/>
  <c r="D27" i="18"/>
  <c r="H27" i="18" s="1"/>
  <c r="G27" i="18" l="1"/>
  <c r="O27" i="18"/>
  <c r="P27" i="18" s="1"/>
  <c r="Q27" i="18" s="1"/>
  <c r="N28" i="18"/>
  <c r="E28" i="18"/>
  <c r="D28" i="18" s="1"/>
  <c r="H28" i="18" l="1"/>
  <c r="O28" i="18"/>
  <c r="P28" i="18" s="1"/>
  <c r="Q28" i="18" s="1"/>
  <c r="F28" i="18"/>
  <c r="G28" i="18"/>
  <c r="N36" i="18"/>
  <c r="E36" i="18"/>
  <c r="D36" i="18" s="1"/>
  <c r="H36" i="18" l="1"/>
  <c r="O36" i="18"/>
  <c r="P36" i="18" s="1"/>
  <c r="Q36" i="18" s="1"/>
  <c r="F36" i="18"/>
  <c r="G36" i="18"/>
  <c r="N37" i="18"/>
  <c r="E37" i="18"/>
  <c r="D37" i="18" s="1"/>
  <c r="G37" i="18" l="1"/>
  <c r="H37" i="18"/>
  <c r="O37" i="18"/>
  <c r="P37" i="18" s="1"/>
  <c r="Q37" i="18" s="1"/>
  <c r="F37" i="18"/>
  <c r="N38" i="18"/>
  <c r="E38" i="18"/>
  <c r="D38" i="18" s="1"/>
  <c r="H38" i="18" l="1"/>
  <c r="O38" i="18"/>
  <c r="P38" i="18" s="1"/>
  <c r="Q38" i="18" s="1"/>
  <c r="G38" i="18"/>
  <c r="F38" i="18"/>
  <c r="N39" i="18"/>
  <c r="E39" i="18"/>
  <c r="D39" i="18" s="1"/>
  <c r="P39" i="18" l="1"/>
  <c r="Q39" i="18" s="1"/>
  <c r="H39" i="18"/>
  <c r="G39" i="18"/>
  <c r="F39" i="18"/>
  <c r="N40" i="18"/>
  <c r="E40" i="18"/>
  <c r="D40" i="18" s="1"/>
  <c r="O40" i="18" l="1"/>
  <c r="P40" i="18" s="1"/>
  <c r="Q40" i="18" s="1"/>
  <c r="H40" i="18"/>
  <c r="G40" i="18"/>
  <c r="F40" i="18"/>
  <c r="G41" i="18"/>
  <c r="F41" i="18"/>
  <c r="H41" i="18"/>
  <c r="N41" i="18"/>
  <c r="E41" i="18"/>
  <c r="D41" i="18"/>
  <c r="O41" i="18" s="1"/>
  <c r="P41" i="18" s="1"/>
  <c r="Q4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Hinton, Joanne</author>
  </authors>
  <commentList>
    <comment ref="A18" authorId="0" shapeId="0" xr:uid="{75652B05-A7E7-4BA1-A0EC-8A552F53F187}">
      <text>
        <r>
          <rPr>
            <b/>
            <sz val="9"/>
            <color indexed="81"/>
            <rFont val="Tahoma"/>
            <charset val="1"/>
          </rPr>
          <t>Hinton, Joanne:</t>
        </r>
        <r>
          <rPr>
            <sz val="9"/>
            <color indexed="81"/>
            <rFont val="Tahoma"/>
            <charset val="1"/>
          </rPr>
          <t xml:space="preserve">
Active rates only ones worked on so far. </t>
        </r>
      </text>
    </comment>
  </commentList>
</comments>
</file>

<file path=xl/sharedStrings.xml><?xml version="1.0" encoding="utf-8"?>
<sst xmlns="http://schemas.openxmlformats.org/spreadsheetml/2006/main" count="499" uniqueCount="126">
  <si>
    <t>Health Plan</t>
  </si>
  <si>
    <t>Premium</t>
  </si>
  <si>
    <t>Total</t>
  </si>
  <si>
    <t xml:space="preserve">City </t>
  </si>
  <si>
    <t>Monthly Cost</t>
  </si>
  <si>
    <t>Hire date &lt; 10/5/1988 OR</t>
  </si>
  <si>
    <t>Hire date &gt;= 10/5/1988 and</t>
  </si>
  <si>
    <t>YOS &gt;= 25 years</t>
  </si>
  <si>
    <t>Retiree</t>
  </si>
  <si>
    <t>YOS &gt;= 15 years &amp; &lt; 25 years</t>
  </si>
  <si>
    <t>YOS &gt;= 5 years &amp; &lt; 15 years</t>
  </si>
  <si>
    <t>Spouse Only</t>
  </si>
  <si>
    <t>Child or Child(ren) Only</t>
  </si>
  <si>
    <t>Spouse and Child(ren)</t>
  </si>
  <si>
    <t>Retiree Only</t>
  </si>
  <si>
    <t>Retiree &amp; Spouse</t>
  </si>
  <si>
    <t>Retiree &amp; Child(ren)</t>
  </si>
  <si>
    <t>Retiree &amp; Family</t>
  </si>
  <si>
    <t>Retiree &amp; Child</t>
  </si>
  <si>
    <t>Non-Medicare Retirees</t>
  </si>
  <si>
    <t>SURVIVORS</t>
  </si>
  <si>
    <t>Retiree &amp; Family (3 members)</t>
  </si>
  <si>
    <t xml:space="preserve">Child </t>
  </si>
  <si>
    <t>Spouse and Child (or 2 children)</t>
  </si>
  <si>
    <t>MA-PD</t>
  </si>
  <si>
    <t xml:space="preserve"> </t>
  </si>
  <si>
    <t>Monthly</t>
  </si>
  <si>
    <t>Using funding method as described below</t>
  </si>
  <si>
    <t>CONSUMER CHOICE</t>
  </si>
  <si>
    <t>Hire Date &gt; 1/1/09</t>
  </si>
  <si>
    <t>CONSUMER CHOICE PLAN</t>
  </si>
  <si>
    <t>Hire Date After 1/1/09</t>
  </si>
  <si>
    <t>Hired after 1/1/09</t>
  </si>
  <si>
    <t>HEALTH CENTER PLAN</t>
  </si>
  <si>
    <t>Retiree MAPD &amp; Spouse  HEALTH CENTER</t>
  </si>
  <si>
    <t>Spouse  MAPD &amp; Retiree  HEALTH CENTER</t>
  </si>
  <si>
    <t>Retiree MAPD &amp; Child(ren) HEALTH CENTER</t>
  </si>
  <si>
    <t>Spouse MAPD &amp; Child(ren) HEALTH CENTER</t>
  </si>
  <si>
    <t>Retiree MAPD &amp; HEALTH CENTER family  (family 1)</t>
  </si>
  <si>
    <t>Spouse MAPD &amp; HEALTH CENTER family (family 1)</t>
  </si>
  <si>
    <t>Retiree/Spouse MAPD &amp; Child(ren)  HEALTH CENTER   (family 2)</t>
  </si>
  <si>
    <t>Retiree MAPD &amp; Spouse HEALTH CENTER</t>
  </si>
  <si>
    <t>Spouse  MAPD &amp; Retiree HEALTH CENTER</t>
  </si>
  <si>
    <t>Retiree MAPD &amp; HEALTH CENTER family (family 1)</t>
  </si>
  <si>
    <t>Spouse MAPD &amp;  HEALTH CENTER family (family 1)</t>
  </si>
  <si>
    <t>Retiree/Spouse MAPD &amp; Child(ren)  HEALTH CENTER (family 2)</t>
  </si>
  <si>
    <t>Rates Active Plan</t>
  </si>
  <si>
    <t>Health Center Plan</t>
  </si>
  <si>
    <t>Employee Only</t>
  </si>
  <si>
    <t>Employee + SP</t>
  </si>
  <si>
    <t>Employee + CH</t>
  </si>
  <si>
    <t>Employee + Fam</t>
  </si>
  <si>
    <t>Total Cost</t>
  </si>
  <si>
    <t>City Cost</t>
  </si>
  <si>
    <t>Employee Cost</t>
  </si>
  <si>
    <t>Consumer Choice Plan</t>
  </si>
  <si>
    <t xml:space="preserve">Employee Per Paycheck </t>
  </si>
  <si>
    <t>Medicare Rate</t>
  </si>
  <si>
    <t>Health Center SP Rate</t>
  </si>
  <si>
    <t>Health Center CH Rate</t>
  </si>
  <si>
    <t>Health Center Fam Rate</t>
  </si>
  <si>
    <t>Surviving Spouse Split Family</t>
  </si>
  <si>
    <t xml:space="preserve">CONSUMER CHOICE </t>
  </si>
  <si>
    <t>Ret Medicare Rate</t>
  </si>
  <si>
    <t>SP Medicare Rate</t>
  </si>
  <si>
    <t>Sp Medicare Rate</t>
  </si>
  <si>
    <t>Ret Cost</t>
  </si>
  <si>
    <t>Consumer Choice SP Rate</t>
  </si>
  <si>
    <t>Consumer Choice CH Rate</t>
  </si>
  <si>
    <t>Consumer Choice Fam Rate</t>
  </si>
  <si>
    <t>Total Premium</t>
  </si>
  <si>
    <t>Consumer Choice Retiree Rate</t>
  </si>
  <si>
    <t>Consumer Choice Ret Rate</t>
  </si>
  <si>
    <t>Medicare Sp Rate</t>
  </si>
  <si>
    <t>Health Center Ret Rate</t>
  </si>
  <si>
    <t>Member Rate</t>
  </si>
  <si>
    <t>Retiree MAPD &amp; Spouse  CONSUMER CHOICE</t>
  </si>
  <si>
    <t>Spouse  MAPD &amp; Retiree  CONSUMER CHOICE</t>
  </si>
  <si>
    <t>Retiree MAPD &amp; Child(ren) CONSUMER CHOICE</t>
  </si>
  <si>
    <t>Retiree MAPD &amp; CONSUMER CHOICE family  (family 1)</t>
  </si>
  <si>
    <t>Spouse MAPD &amp; CONSUMER CHOICE family (family 1)</t>
  </si>
  <si>
    <t>Retiree/Spouse MAPD &amp; Child(ren)  CONSUMER CHOICE   (family 2)</t>
  </si>
  <si>
    <t>Retiree MAPD &amp; Spouse CONSUMER CHOICE</t>
  </si>
  <si>
    <t>Spouse  MAPD &amp; Retiree CONSUMER CHOICE</t>
  </si>
  <si>
    <t>Retiree MAPD &amp; CONSUMER CHOICE family (family 1)</t>
  </si>
  <si>
    <t>Spouse MAPD &amp;  CONSUMER CHOICE family (family 1)</t>
  </si>
  <si>
    <t>Retiree/Spouse MAPD &amp; Child(ren)  CONSUMER CHOICE (family 2)</t>
  </si>
  <si>
    <t>Spouse MAPD &amp; Child(ren) CONSUMER CHOICE</t>
  </si>
  <si>
    <t xml:space="preserve">Spouse  MAPD &amp; Retiree CONSUMER CHOICE </t>
  </si>
  <si>
    <t xml:space="preserve">Spouse  MAPD &amp; Retiree HEALTH CENTER </t>
  </si>
  <si>
    <t>VIVERAE Rates</t>
  </si>
  <si>
    <t>VIVERAE</t>
  </si>
  <si>
    <t xml:space="preserve"> MAPD PPO  HEALTH CENTER SPLIT-FAMILY</t>
  </si>
  <si>
    <t>MAPD PPO Consumer Choice Split Family</t>
  </si>
  <si>
    <t>Spouse + Dep MAPD Ret CCP</t>
  </si>
  <si>
    <t>440 City Contribution</t>
  </si>
  <si>
    <t>440 Employer Contribution</t>
  </si>
  <si>
    <t>Spouse + Dep MAPD Ret HEALTH CENTER</t>
  </si>
  <si>
    <t>Spouse + Dep MAPD Ret HCP</t>
  </si>
  <si>
    <t>LINE OF DUTY SURVIVORS</t>
  </si>
  <si>
    <t xml:space="preserve">                     Medicare Retirees</t>
  </si>
  <si>
    <t>Over 65 Project - Paying Part B through City (A - C)</t>
  </si>
  <si>
    <t>Retiree &amp; Spouse SP Pays for Medicare</t>
  </si>
  <si>
    <t>Ret</t>
  </si>
  <si>
    <t>City</t>
  </si>
  <si>
    <t>U65</t>
  </si>
  <si>
    <t>O65</t>
  </si>
  <si>
    <t>Annual Cost</t>
  </si>
  <si>
    <t>COBRA</t>
  </si>
  <si>
    <t xml:space="preserve">Spouse + Child(ren) </t>
  </si>
  <si>
    <t>Spouse + Child(ren)</t>
  </si>
  <si>
    <t>Child(ren) Only</t>
  </si>
  <si>
    <t>Annual Premium</t>
  </si>
  <si>
    <t xml:space="preserve">            2024 Medical Plan Premium &amp; Contribution Rate</t>
  </si>
  <si>
    <t xml:space="preserve">Retiree </t>
  </si>
  <si>
    <t>2025 Rates Active Plan</t>
  </si>
  <si>
    <t>Total 2025</t>
  </si>
  <si>
    <t>2025 City + 5%</t>
  </si>
  <si>
    <t>2025 EE + 3%</t>
  </si>
  <si>
    <t xml:space="preserve">              2025 Medical Plan Premium &amp; Contribution Rate</t>
  </si>
  <si>
    <t xml:space="preserve">            2025 Medical Plan Premium &amp; Contribution Rate</t>
  </si>
  <si>
    <t>Wellness</t>
  </si>
  <si>
    <t>Employee</t>
  </si>
  <si>
    <t>O65 Total</t>
  </si>
  <si>
    <t>U65 Total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</si>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</sst>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_);\(0\)"/>
    <numFmt numFmtId="166" formatCode="&quot;$&quot;#,##0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0"/>
      <color theme="3"/>
      <name val="Arial"/>
      <family val="2"/>
    </font>
    <font>
      <b/>
      <u/>
      <sz val="10"/>
      <color rgb="FFC0000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43" fontId="0" fillId="0" borderId="0" xfId="0" applyNumberFormat="1"/>
    <xf numFmtId="4" fontId="0" fillId="0" borderId="0" xfId="0" applyNumberFormat="1"/>
    <xf numFmtId="39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44" fontId="0" fillId="0" borderId="0" xfId="0" applyNumberFormat="1"/>
    <xf numFmtId="0" fontId="4" fillId="0" borderId="0" xfId="0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 applyFill="1" applyAlignment="1">
      <alignment horizontal="center"/>
    </xf>
    <xf numFmtId="164" fontId="0" fillId="0" borderId="0" xfId="0" applyNumberFormat="1" applyFill="1"/>
    <xf numFmtId="10" fontId="4" fillId="0" borderId="0" xfId="0" applyNumberFormat="1" applyFont="1" applyAlignment="1">
      <alignment horizontal="center"/>
    </xf>
    <xf numFmtId="44" fontId="4" fillId="0" borderId="0" xfId="0" applyNumberFormat="1" applyFont="1" applyFill="1" applyAlignment="1"/>
    <xf numFmtId="44" fontId="4" fillId="0" borderId="0" xfId="0" applyNumberFormat="1" applyFont="1" applyFill="1"/>
    <xf numFmtId="44" fontId="4" fillId="0" borderId="0" xfId="0" applyNumberFormat="1" applyFont="1" applyAlignment="1">
      <alignment horizontal="center"/>
    </xf>
    <xf numFmtId="44" fontId="4" fillId="0" borderId="0" xfId="0" applyNumberFormat="1" applyFont="1"/>
    <xf numFmtId="165" fontId="4" fillId="0" borderId="0" xfId="0" applyNumberFormat="1" applyFont="1" applyAlignment="1">
      <alignment horizontal="center"/>
    </xf>
    <xf numFmtId="164" fontId="10" fillId="0" borderId="0" xfId="0" applyNumberFormat="1" applyFont="1"/>
    <xf numFmtId="164" fontId="0" fillId="0" borderId="0" xfId="0" applyNumberFormat="1" applyAlignment="1">
      <alignment horizontal="center"/>
    </xf>
    <xf numFmtId="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9" fontId="4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quotePrefix="1" applyNumberFormat="1" applyFont="1" applyAlignment="1">
      <alignment horizontal="center"/>
    </xf>
    <xf numFmtId="16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164" fontId="2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9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11" fillId="0" borderId="0" xfId="0" applyNumberFormat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0" fontId="12" fillId="0" borderId="0" xfId="0" applyFont="1" applyBorder="1"/>
    <xf numFmtId="0" fontId="6" fillId="0" borderId="0" xfId="0" applyFont="1" applyBorder="1"/>
    <xf numFmtId="44" fontId="5" fillId="0" borderId="0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Border="1"/>
    <xf numFmtId="164" fontId="7" fillId="0" borderId="0" xfId="0" applyNumberFormat="1" applyFont="1" applyFill="1" applyBorder="1"/>
    <xf numFmtId="164" fontId="0" fillId="0" borderId="0" xfId="0" applyNumberFormat="1" applyFill="1" applyBorder="1"/>
    <xf numFmtId="164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Fill="1" applyBorder="1"/>
    <xf numFmtId="0" fontId="0" fillId="3" borderId="0" xfId="0" applyFont="1" applyFill="1" applyBorder="1"/>
    <xf numFmtId="0" fontId="0" fillId="0" borderId="0" xfId="0" applyFont="1" applyFill="1" applyBorder="1"/>
    <xf numFmtId="10" fontId="4" fillId="0" borderId="0" xfId="0" applyNumberFormat="1" applyFont="1" applyBorder="1"/>
    <xf numFmtId="44" fontId="7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/>
    <xf numFmtId="2" fontId="7" fillId="0" borderId="0" xfId="0" applyNumberFormat="1" applyFont="1" applyBorder="1"/>
    <xf numFmtId="2" fontId="4" fillId="0" borderId="0" xfId="0" applyNumberFormat="1" applyFont="1" applyBorder="1"/>
    <xf numFmtId="164" fontId="6" fillId="0" borderId="0" xfId="0" applyNumberFormat="1" applyFont="1" applyBorder="1"/>
    <xf numFmtId="2" fontId="0" fillId="0" borderId="0" xfId="0" applyNumberFormat="1" applyBorder="1"/>
    <xf numFmtId="0" fontId="13" fillId="0" borderId="0" xfId="0" applyFont="1" applyBorder="1"/>
    <xf numFmtId="0" fontId="7" fillId="0" borderId="0" xfId="0" applyFont="1" applyBorder="1"/>
    <xf numFmtId="0" fontId="7" fillId="0" borderId="0" xfId="0" applyFont="1" applyFill="1" applyBorder="1"/>
    <xf numFmtId="2" fontId="7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2" fontId="9" fillId="0" borderId="0" xfId="0" applyNumberFormat="1" applyFont="1" applyBorder="1"/>
    <xf numFmtId="2" fontId="5" fillId="0" borderId="0" xfId="0" applyNumberFormat="1" applyFont="1" applyBorder="1"/>
    <xf numFmtId="2" fontId="6" fillId="0" borderId="0" xfId="0" applyNumberFormat="1" applyFont="1" applyBorder="1"/>
    <xf numFmtId="2" fontId="0" fillId="0" borderId="0" xfId="0" applyNumberFormat="1" applyFill="1" applyBorder="1"/>
    <xf numFmtId="0" fontId="4" fillId="0" borderId="0" xfId="0" applyFont="1" applyAlignment="1">
      <alignment vertical="center" wrapText="1"/>
    </xf>
    <xf numFmtId="0" fontId="0" fillId="2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0" fillId="0" borderId="0" xfId="1" applyNumberFormat="1" applyFont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vertical="center"/>
    </xf>
    <xf numFmtId="0" fontId="4" fillId="0" borderId="0" xfId="0" applyFont="1" applyAlignment="1"/>
    <xf numFmtId="9" fontId="0" fillId="0" borderId="0" xfId="2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2" applyNumberFormat="1" applyFont="1"/>
    <xf numFmtId="0" fontId="1" fillId="0" borderId="0" xfId="0" applyFont="1"/>
    <xf numFmtId="9" fontId="0" fillId="0" borderId="0" xfId="2" applyFont="1" applyBorder="1"/>
    <xf numFmtId="164" fontId="0" fillId="0" borderId="0" xfId="1" applyNumberFormat="1" applyFont="1" applyBorder="1"/>
    <xf numFmtId="0" fontId="4" fillId="0" borderId="0" xfId="0" applyFont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/>
    <xf numFmtId="0" fontId="4" fillId="0" borderId="0" xfId="0" applyFont="1" applyBorder="1" applyAlignment="1">
      <alignment horizontal="center" wrapText="1"/>
    </xf>
    <xf numFmtId="2" fontId="0" fillId="0" borderId="0" xfId="2" applyNumberFormat="1" applyFont="1"/>
    <xf numFmtId="0" fontId="0" fillId="0" borderId="0" xfId="0" applyNumberFormat="1"/>
    <xf numFmtId="0" fontId="4" fillId="0" borderId="0" xfId="0" applyFont="1" applyBorder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0" fontId="8" fillId="4" borderId="0" xfId="0" applyFont="1" applyFill="1"/>
    <xf numFmtId="164" fontId="0" fillId="4" borderId="0" xfId="0" applyNumberFormat="1" applyFill="1"/>
    <xf numFmtId="44" fontId="0" fillId="4" borderId="0" xfId="0" applyNumberFormat="1" applyFill="1"/>
    <xf numFmtId="9" fontId="0" fillId="4" borderId="0" xfId="2" applyFont="1" applyFill="1"/>
    <xf numFmtId="0" fontId="0" fillId="4" borderId="0" xfId="0" applyFill="1"/>
    <xf numFmtId="0" fontId="7" fillId="4" borderId="0" xfId="0" applyFont="1" applyFill="1"/>
    <xf numFmtId="0" fontId="0" fillId="4" borderId="0" xfId="2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2" fontId="0" fillId="0" borderId="0" xfId="0" applyNumberFormat="1"/>
    <xf numFmtId="2" fontId="0" fillId="0" borderId="0" xfId="0" applyNumberFormat="1" applyBorder="1" applyAlignment="1"/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2" applyNumberFormat="1" applyFont="1" applyBorder="1"/>
    <xf numFmtId="2" fontId="1" fillId="0" borderId="0" xfId="0" applyNumberFormat="1" applyFont="1" applyBorder="1" applyAlignment="1"/>
    <xf numFmtId="0" fontId="0" fillId="0" borderId="0" xfId="0" applyFill="1"/>
    <xf numFmtId="44" fontId="0" fillId="0" borderId="0" xfId="0" applyNumberFormat="1" applyFill="1"/>
    <xf numFmtId="0" fontId="0" fillId="0" borderId="0" xfId="2" applyNumberFormat="1" applyFont="1" applyFill="1"/>
    <xf numFmtId="2" fontId="0" fillId="0" borderId="0" xfId="2" applyNumberFormat="1" applyFont="1" applyFill="1"/>
    <xf numFmtId="2" fontId="0" fillId="0" borderId="0" xfId="0" applyNumberFormat="1" applyFill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9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0" fillId="0" borderId="0" xfId="0" applyNumberFormat="1" applyAlignment="1"/>
    <xf numFmtId="0" fontId="0" fillId="5" borderId="0" xfId="0" applyFont="1" applyFill="1" applyBorder="1"/>
    <xf numFmtId="0" fontId="0" fillId="5" borderId="0" xfId="0" applyFill="1" applyBorder="1"/>
    <xf numFmtId="164" fontId="0" fillId="5" borderId="0" xfId="0" applyNumberFormat="1" applyFill="1" applyBorder="1"/>
    <xf numFmtId="164" fontId="7" fillId="5" borderId="0" xfId="0" applyNumberFormat="1" applyFont="1" applyFill="1" applyBorder="1"/>
    <xf numFmtId="164" fontId="7" fillId="5" borderId="0" xfId="0" applyNumberFormat="1" applyFont="1" applyFill="1" applyBorder="1" applyAlignment="1">
      <alignment horizontal="right"/>
    </xf>
    <xf numFmtId="0" fontId="0" fillId="6" borderId="0" xfId="0" applyFont="1" applyFill="1" applyBorder="1"/>
    <xf numFmtId="0" fontId="0" fillId="6" borderId="0" xfId="0" applyFill="1" applyBorder="1"/>
    <xf numFmtId="164" fontId="0" fillId="6" borderId="0" xfId="0" applyNumberFormat="1" applyFill="1" applyBorder="1"/>
    <xf numFmtId="164" fontId="7" fillId="6" borderId="0" xfId="0" applyNumberFormat="1" applyFont="1" applyFill="1" applyBorder="1"/>
    <xf numFmtId="164" fontId="7" fillId="6" borderId="0" xfId="0" applyNumberFormat="1" applyFont="1" applyFill="1" applyBorder="1" applyAlignment="1">
      <alignment horizontal="right"/>
    </xf>
    <xf numFmtId="0" fontId="0" fillId="7" borderId="0" xfId="0" applyFont="1" applyFill="1" applyBorder="1"/>
    <xf numFmtId="0" fontId="0" fillId="7" borderId="0" xfId="0" applyFill="1" applyBorder="1"/>
    <xf numFmtId="164" fontId="0" fillId="7" borderId="0" xfId="0" applyNumberFormat="1" applyFill="1" applyBorder="1"/>
    <xf numFmtId="164" fontId="7" fillId="7" borderId="0" xfId="0" applyNumberFormat="1" applyFont="1" applyFill="1" applyBorder="1"/>
    <xf numFmtId="164" fontId="7" fillId="7" borderId="0" xfId="0" applyNumberFormat="1" applyFont="1" applyFill="1" applyBorder="1" applyAlignment="1">
      <alignment horizontal="right"/>
    </xf>
    <xf numFmtId="0" fontId="0" fillId="8" borderId="0" xfId="0" applyFont="1" applyFill="1" applyBorder="1"/>
    <xf numFmtId="0" fontId="0" fillId="8" borderId="0" xfId="0" applyFill="1" applyBorder="1"/>
    <xf numFmtId="164" fontId="0" fillId="8" borderId="0" xfId="0" applyNumberFormat="1" applyFill="1" applyBorder="1"/>
    <xf numFmtId="164" fontId="7" fillId="8" borderId="0" xfId="0" applyNumberFormat="1" applyFont="1" applyFill="1" applyBorder="1"/>
    <xf numFmtId="164" fontId="7" fillId="8" borderId="0" xfId="0" applyNumberFormat="1" applyFont="1" applyFill="1" applyBorder="1" applyAlignment="1">
      <alignment horizontal="right"/>
    </xf>
    <xf numFmtId="0" fontId="1" fillId="9" borderId="0" xfId="0" applyFont="1" applyFill="1" applyBorder="1"/>
    <xf numFmtId="0" fontId="4" fillId="9" borderId="0" xfId="0" applyFont="1" applyFill="1" applyBorder="1"/>
    <xf numFmtId="164" fontId="0" fillId="9" borderId="0" xfId="0" applyNumberFormat="1" applyFill="1" applyBorder="1"/>
    <xf numFmtId="164" fontId="7" fillId="9" borderId="0" xfId="0" applyNumberFormat="1" applyFont="1" applyFill="1" applyBorder="1"/>
    <xf numFmtId="0" fontId="0" fillId="9" borderId="0" xfId="0" applyFill="1" applyBorder="1"/>
    <xf numFmtId="0" fontId="0" fillId="9" borderId="0" xfId="0" applyFont="1" applyFill="1" applyBorder="1"/>
    <xf numFmtId="164" fontId="7" fillId="9" borderId="0" xfId="0" applyNumberFormat="1" applyFont="1" applyFill="1" applyBorder="1" applyAlignment="1">
      <alignment horizontal="right"/>
    </xf>
    <xf numFmtId="0" fontId="0" fillId="10" borderId="0" xfId="0" applyFill="1" applyBorder="1"/>
    <xf numFmtId="164" fontId="0" fillId="10" borderId="0" xfId="0" applyNumberFormat="1" applyFill="1" applyBorder="1"/>
    <xf numFmtId="164" fontId="7" fillId="10" borderId="0" xfId="0" applyNumberFormat="1" applyFont="1" applyFill="1" applyBorder="1"/>
    <xf numFmtId="164" fontId="7" fillId="10" borderId="0" xfId="0" applyNumberFormat="1" applyFont="1" applyFill="1" applyBorder="1" applyAlignment="1">
      <alignment horizontal="right"/>
    </xf>
    <xf numFmtId="0" fontId="0" fillId="11" borderId="0" xfId="0" applyFont="1" applyFill="1" applyBorder="1"/>
    <xf numFmtId="0" fontId="0" fillId="11" borderId="0" xfId="0" applyFill="1" applyBorder="1"/>
    <xf numFmtId="164" fontId="0" fillId="11" borderId="0" xfId="0" applyNumberFormat="1" applyFill="1" applyBorder="1"/>
    <xf numFmtId="164" fontId="7" fillId="11" borderId="0" xfId="0" applyNumberFormat="1" applyFont="1" applyFill="1" applyBorder="1"/>
    <xf numFmtId="164" fontId="7" fillId="11" borderId="0" xfId="0" applyNumberFormat="1" applyFont="1" applyFill="1" applyBorder="1" applyAlignment="1">
      <alignment horizontal="right"/>
    </xf>
    <xf numFmtId="0" fontId="1" fillId="7" borderId="0" xfId="0" applyFont="1" applyFill="1" applyBorder="1"/>
    <xf numFmtId="0" fontId="4" fillId="7" borderId="0" xfId="0" applyFont="1" applyFill="1" applyBorder="1"/>
    <xf numFmtId="0" fontId="6" fillId="7" borderId="0" xfId="0" applyFont="1" applyFill="1" applyBorder="1"/>
    <xf numFmtId="0" fontId="0" fillId="10" borderId="0" xfId="0" applyFont="1" applyFill="1" applyBorder="1"/>
    <xf numFmtId="0" fontId="0" fillId="10" borderId="0" xfId="0" applyFill="1"/>
    <xf numFmtId="164" fontId="0" fillId="10" borderId="0" xfId="0" applyNumberFormat="1" applyFill="1"/>
    <xf numFmtId="44" fontId="0" fillId="10" borderId="0" xfId="0" applyNumberFormat="1" applyFill="1"/>
    <xf numFmtId="0" fontId="0" fillId="6" borderId="0" xfId="0" applyFill="1"/>
    <xf numFmtId="164" fontId="0" fillId="6" borderId="0" xfId="0" applyNumberFormat="1" applyFill="1"/>
    <xf numFmtId="44" fontId="0" fillId="6" borderId="0" xfId="0" applyNumberFormat="1" applyFill="1"/>
    <xf numFmtId="0" fontId="0" fillId="11" borderId="0" xfId="0" applyFill="1"/>
    <xf numFmtId="164" fontId="0" fillId="11" borderId="0" xfId="0" applyNumberFormat="1" applyFill="1"/>
    <xf numFmtId="44" fontId="0" fillId="11" borderId="0" xfId="0" applyNumberFormat="1" applyFill="1"/>
    <xf numFmtId="0" fontId="0" fillId="8" borderId="0" xfId="0" applyFill="1"/>
    <xf numFmtId="164" fontId="0" fillId="8" borderId="0" xfId="0" applyNumberFormat="1" applyFill="1"/>
    <xf numFmtId="44" fontId="0" fillId="8" borderId="0" xfId="0" applyNumberFormat="1" applyFill="1"/>
    <xf numFmtId="0" fontId="0" fillId="7" borderId="0" xfId="0" applyFill="1"/>
    <xf numFmtId="164" fontId="0" fillId="7" borderId="0" xfId="0" applyNumberFormat="1" applyFill="1"/>
    <xf numFmtId="44" fontId="0" fillId="7" borderId="0" xfId="0" applyNumberFormat="1" applyFill="1"/>
    <xf numFmtId="0" fontId="0" fillId="12" borderId="0" xfId="0" applyFont="1" applyFill="1" applyBorder="1"/>
    <xf numFmtId="0" fontId="0" fillId="12" borderId="0" xfId="0" applyFill="1" applyBorder="1"/>
    <xf numFmtId="164" fontId="0" fillId="12" borderId="0" xfId="0" applyNumberFormat="1" applyFill="1" applyBorder="1"/>
    <xf numFmtId="164" fontId="7" fillId="12" borderId="0" xfId="0" applyNumberFormat="1" applyFont="1" applyFill="1" applyBorder="1"/>
    <xf numFmtId="164" fontId="7" fillId="1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workbookViewId="0">
      <selection activeCell="G18" sqref="G18"/>
    </sheetView>
  </sheetViews>
  <sheetFormatPr defaultRowHeight="12.75" x14ac:dyDescent="0.2"/>
  <cols>
    <col min="1" max="1" width="22.7109375" customWidth="1"/>
    <col min="2" max="2" width="14.140625" customWidth="1"/>
    <col min="3" max="3" width="10.5703125" customWidth="1"/>
    <col min="4" max="4" width="12.85546875" customWidth="1"/>
    <col min="5" max="5" width="18.42578125" customWidth="1"/>
    <col min="6" max="6" width="19" customWidth="1"/>
    <col min="7" max="7" width="16.42578125" customWidth="1"/>
    <col min="8" max="8" width="16.140625" customWidth="1"/>
    <col min="9" max="9" width="15.42578125" bestFit="1" customWidth="1"/>
    <col min="10" max="10" width="10" bestFit="1" customWidth="1"/>
    <col min="11" max="11" width="9.140625" bestFit="1" customWidth="1"/>
    <col min="12" max="12" width="14.5703125" bestFit="1" customWidth="1"/>
    <col min="13" max="13" width="18" customWidth="1"/>
  </cols>
  <sheetData>
    <row r="1" spans="1:18" ht="18" x14ac:dyDescent="0.25">
      <c r="A1" s="147" t="s">
        <v>115</v>
      </c>
      <c r="B1" s="147"/>
      <c r="C1" s="147"/>
      <c r="D1" s="147"/>
      <c r="E1" s="147"/>
    </row>
    <row r="2" spans="1:18" x14ac:dyDescent="0.2">
      <c r="H2" s="92"/>
      <c r="I2" s="150">
        <v>2024</v>
      </c>
      <c r="J2" s="150"/>
      <c r="K2" s="150"/>
      <c r="L2" s="150"/>
      <c r="M2" s="150"/>
    </row>
    <row r="3" spans="1:18" ht="15.75" x14ac:dyDescent="0.25">
      <c r="A3" s="148" t="s">
        <v>47</v>
      </c>
      <c r="B3" s="148"/>
      <c r="C3" s="148"/>
      <c r="D3" s="148"/>
      <c r="E3" s="148"/>
      <c r="G3" s="115"/>
      <c r="H3" s="115"/>
      <c r="I3" s="148" t="s">
        <v>47</v>
      </c>
      <c r="J3" s="148"/>
      <c r="K3" s="148"/>
      <c r="L3" s="148"/>
      <c r="M3" s="148"/>
      <c r="N3" s="115"/>
      <c r="O3" s="115"/>
    </row>
    <row r="4" spans="1:18" ht="25.5" x14ac:dyDescent="0.2">
      <c r="A4" s="4"/>
      <c r="B4" s="4" t="s">
        <v>52</v>
      </c>
      <c r="C4" s="4" t="s">
        <v>53</v>
      </c>
      <c r="D4" s="34" t="s">
        <v>54</v>
      </c>
      <c r="E4" s="34" t="s">
        <v>56</v>
      </c>
      <c r="F4" s="145" t="s">
        <v>2</v>
      </c>
      <c r="G4" s="145" t="s">
        <v>104</v>
      </c>
      <c r="H4" s="145" t="s">
        <v>122</v>
      </c>
      <c r="I4" s="130"/>
      <c r="J4" s="130" t="s">
        <v>52</v>
      </c>
      <c r="K4" s="130" t="s">
        <v>53</v>
      </c>
      <c r="L4" s="131" t="s">
        <v>54</v>
      </c>
      <c r="M4" s="131" t="s">
        <v>56</v>
      </c>
      <c r="N4" s="130" t="s">
        <v>116</v>
      </c>
      <c r="O4" s="115" t="s">
        <v>117</v>
      </c>
      <c r="P4" t="s">
        <v>118</v>
      </c>
    </row>
    <row r="5" spans="1:18" x14ac:dyDescent="0.2">
      <c r="A5" s="9" t="s">
        <v>48</v>
      </c>
      <c r="B5" s="14">
        <v>786.46119999999996</v>
      </c>
      <c r="C5" s="14">
        <v>672.399</v>
      </c>
      <c r="D5" s="14">
        <v>114.0622</v>
      </c>
      <c r="E5" s="14">
        <f>+D5*0.461538461538462</f>
        <v>52.644092307692361</v>
      </c>
      <c r="F5" s="134">
        <f>+B5*12</f>
        <v>9437.5344000000005</v>
      </c>
      <c r="G5" s="166">
        <f>+C5*12</f>
        <v>8068.7880000000005</v>
      </c>
      <c r="H5" s="166">
        <f>+D5*12</f>
        <v>1368.7464</v>
      </c>
      <c r="I5" s="9" t="s">
        <v>48</v>
      </c>
      <c r="J5" s="14">
        <v>751.12</v>
      </c>
      <c r="K5" s="14">
        <v>640.38</v>
      </c>
      <c r="L5" s="14">
        <v>110.74</v>
      </c>
      <c r="M5" s="14">
        <f>+L5*0.461538461538462</f>
        <v>51.110769230769279</v>
      </c>
      <c r="N5" s="115">
        <f>+O5+P5</f>
        <v>786.46119999999996</v>
      </c>
      <c r="O5" s="115">
        <f>+K5*1.05</f>
        <v>672.399</v>
      </c>
      <c r="P5">
        <f>+L5*1.03</f>
        <v>114.0622</v>
      </c>
      <c r="Q5" s="14">
        <f>+D5-L5</f>
        <v>3.3222000000000094</v>
      </c>
      <c r="R5" s="14">
        <f>+C5-K5</f>
        <v>32.019000000000005</v>
      </c>
    </row>
    <row r="6" spans="1:18" x14ac:dyDescent="0.2">
      <c r="A6" s="9" t="s">
        <v>49</v>
      </c>
      <c r="B6" s="14">
        <v>1940.6871000000001</v>
      </c>
      <c r="C6" s="14">
        <v>1376.3295000000001</v>
      </c>
      <c r="D6" s="14">
        <v>564.35759999999993</v>
      </c>
      <c r="E6" s="14">
        <f>+D6*0.461538461538462</f>
        <v>260.47273846153871</v>
      </c>
      <c r="F6" s="134">
        <f t="shared" ref="F6:F8" si="0">+B6*12</f>
        <v>23288.245200000001</v>
      </c>
      <c r="G6" s="166">
        <f t="shared" ref="G6:G8" si="1">+C6*12</f>
        <v>16515.954000000002</v>
      </c>
      <c r="H6" s="166">
        <f t="shared" ref="H6:H8" si="2">+D6*12</f>
        <v>6772.2911999999997</v>
      </c>
      <c r="I6" s="9" t="s">
        <v>49</v>
      </c>
      <c r="J6" s="14">
        <v>1858.71</v>
      </c>
      <c r="K6" s="14">
        <v>1310.79</v>
      </c>
      <c r="L6" s="14">
        <v>547.91999999999996</v>
      </c>
      <c r="M6" s="14">
        <f>+L6*0.461538461538462</f>
        <v>252.88615384615409</v>
      </c>
      <c r="N6" s="115">
        <f t="shared" ref="N6:N8" si="3">+O6+P6</f>
        <v>1940.6871000000001</v>
      </c>
      <c r="O6" s="115">
        <f t="shared" ref="O6:O8" si="4">+K6*1.05</f>
        <v>1376.3295000000001</v>
      </c>
      <c r="P6">
        <f t="shared" ref="P6:P8" si="5">+L6*1.03</f>
        <v>564.35759999999993</v>
      </c>
      <c r="Q6" s="14">
        <f t="shared" ref="Q6:Q8" si="6">+D6-L6</f>
        <v>16.437599999999975</v>
      </c>
      <c r="R6" s="14">
        <f t="shared" ref="R6:R8" si="7">+C6-K6</f>
        <v>65.539500000000089</v>
      </c>
    </row>
    <row r="7" spans="1:18" x14ac:dyDescent="0.2">
      <c r="A7" s="9" t="s">
        <v>50</v>
      </c>
      <c r="B7" s="14">
        <v>1395.9573</v>
      </c>
      <c r="C7" s="14">
        <v>974.88300000000004</v>
      </c>
      <c r="D7" s="14">
        <v>421.07429999999999</v>
      </c>
      <c r="E7" s="14">
        <f>+D7*0.461538461538462</f>
        <v>194.3419846153848</v>
      </c>
      <c r="F7" s="134">
        <f t="shared" si="0"/>
        <v>16751.4876</v>
      </c>
      <c r="G7" s="166">
        <f t="shared" si="1"/>
        <v>11698.596000000001</v>
      </c>
      <c r="H7" s="166">
        <f t="shared" si="2"/>
        <v>5052.8915999999999</v>
      </c>
      <c r="I7" s="9" t="s">
        <v>50</v>
      </c>
      <c r="J7" s="14">
        <v>1337.27</v>
      </c>
      <c r="K7" s="14">
        <v>928.46</v>
      </c>
      <c r="L7" s="14">
        <v>408.81</v>
      </c>
      <c r="M7" s="14">
        <f>+L7*0.461538461538462</f>
        <v>188.68153846153865</v>
      </c>
      <c r="N7" s="115">
        <f t="shared" si="3"/>
        <v>1395.9573</v>
      </c>
      <c r="O7" s="115">
        <f t="shared" si="4"/>
        <v>974.88300000000004</v>
      </c>
      <c r="P7">
        <f t="shared" si="5"/>
        <v>421.07429999999999</v>
      </c>
      <c r="Q7" s="14">
        <f t="shared" si="6"/>
        <v>12.264299999999992</v>
      </c>
      <c r="R7" s="14">
        <f t="shared" si="7"/>
        <v>46.423000000000002</v>
      </c>
    </row>
    <row r="8" spans="1:18" x14ac:dyDescent="0.2">
      <c r="A8" s="9" t="s">
        <v>51</v>
      </c>
      <c r="B8" s="14">
        <v>2517.8051000000005</v>
      </c>
      <c r="C8" s="14">
        <v>1728.2895000000003</v>
      </c>
      <c r="D8" s="14">
        <v>789.51559999999995</v>
      </c>
      <c r="E8" s="14">
        <f>+D8*0.461538461538462</f>
        <v>364.39181538461571</v>
      </c>
      <c r="F8" s="134">
        <f t="shared" si="0"/>
        <v>30213.661200000006</v>
      </c>
      <c r="G8" s="166">
        <f t="shared" si="1"/>
        <v>20739.474000000002</v>
      </c>
      <c r="H8" s="166">
        <f t="shared" si="2"/>
        <v>9474.1872000000003</v>
      </c>
      <c r="I8" s="9" t="s">
        <v>51</v>
      </c>
      <c r="J8" s="14">
        <v>2412.5100000000002</v>
      </c>
      <c r="K8" s="14">
        <v>1645.9900000000002</v>
      </c>
      <c r="L8" s="14">
        <v>766.52</v>
      </c>
      <c r="M8" s="14">
        <f>+L8*0.461538461538462</f>
        <v>353.7784615384619</v>
      </c>
      <c r="N8" s="115">
        <f t="shared" si="3"/>
        <v>2517.8051000000005</v>
      </c>
      <c r="O8" s="115">
        <f t="shared" si="4"/>
        <v>1728.2895000000003</v>
      </c>
      <c r="P8">
        <f t="shared" si="5"/>
        <v>789.51559999999995</v>
      </c>
      <c r="Q8" s="14">
        <f t="shared" si="6"/>
        <v>22.995599999999968</v>
      </c>
      <c r="R8" s="14">
        <f t="shared" si="7"/>
        <v>82.29950000000008</v>
      </c>
    </row>
    <row r="9" spans="1:18" x14ac:dyDescent="0.2">
      <c r="D9" s="14"/>
      <c r="G9" s="115"/>
      <c r="H9" s="115"/>
      <c r="K9">
        <f>+K8*12</f>
        <v>19751.880000000005</v>
      </c>
      <c r="N9" s="115"/>
      <c r="O9" s="115"/>
    </row>
    <row r="10" spans="1:18" x14ac:dyDescent="0.2">
      <c r="G10" s="115"/>
      <c r="H10" s="115"/>
      <c r="N10" s="115"/>
      <c r="O10" s="115"/>
    </row>
    <row r="11" spans="1:18" ht="15.75" x14ac:dyDescent="0.25">
      <c r="A11" s="148" t="s">
        <v>55</v>
      </c>
      <c r="B11" s="148"/>
      <c r="C11" s="148"/>
      <c r="D11" s="148"/>
      <c r="E11" s="148"/>
      <c r="G11" s="115"/>
      <c r="H11" s="115"/>
      <c r="I11" s="148" t="s">
        <v>55</v>
      </c>
      <c r="J11" s="148"/>
      <c r="K11" s="148"/>
      <c r="L11" s="148"/>
      <c r="M11" s="148"/>
      <c r="N11" s="115"/>
      <c r="O11" s="115"/>
    </row>
    <row r="12" spans="1:18" ht="25.5" x14ac:dyDescent="0.2">
      <c r="A12" s="4"/>
      <c r="B12" s="4" t="s">
        <v>52</v>
      </c>
      <c r="C12" s="4" t="s">
        <v>53</v>
      </c>
      <c r="D12" s="34" t="s">
        <v>54</v>
      </c>
      <c r="E12" s="34" t="s">
        <v>56</v>
      </c>
      <c r="G12" s="115"/>
      <c r="H12" s="115"/>
      <c r="I12" s="130"/>
      <c r="J12" s="130" t="s">
        <v>52</v>
      </c>
      <c r="K12" s="130" t="s">
        <v>53</v>
      </c>
      <c r="L12" s="131" t="s">
        <v>54</v>
      </c>
      <c r="M12" s="131" t="s">
        <v>56</v>
      </c>
      <c r="N12" s="115"/>
      <c r="O12" s="115"/>
    </row>
    <row r="13" spans="1:18" x14ac:dyDescent="0.2">
      <c r="A13" s="9" t="s">
        <v>48</v>
      </c>
      <c r="B13" s="14">
        <v>677.33190000000002</v>
      </c>
      <c r="C13" s="14">
        <v>677.33190000000002</v>
      </c>
      <c r="D13" s="14">
        <v>0</v>
      </c>
      <c r="E13" s="14">
        <f>+D13*0.461538461538462</f>
        <v>0</v>
      </c>
      <c r="F13" s="134">
        <f>+B13*12</f>
        <v>8127.9827999999998</v>
      </c>
      <c r="G13" s="166">
        <f>+C13*12</f>
        <v>8127.9827999999998</v>
      </c>
      <c r="H13" s="166">
        <f>+D13*12</f>
        <v>0</v>
      </c>
      <c r="I13" s="9" t="s">
        <v>48</v>
      </c>
      <c r="J13" s="14">
        <v>645.07799999999997</v>
      </c>
      <c r="K13" s="14">
        <v>645.07799999999997</v>
      </c>
      <c r="L13" s="14">
        <v>0</v>
      </c>
      <c r="M13" s="14">
        <v>0</v>
      </c>
      <c r="N13" s="115">
        <f t="shared" ref="N13:N16" si="8">+O13+P13</f>
        <v>677.33190000000002</v>
      </c>
      <c r="O13" s="115">
        <f t="shared" ref="O13:O16" si="9">+K13*1.05</f>
        <v>677.33190000000002</v>
      </c>
      <c r="P13">
        <f t="shared" ref="P13:P16" si="10">+L13*1.03</f>
        <v>0</v>
      </c>
      <c r="Q13" s="14">
        <f>+D13-L13</f>
        <v>0</v>
      </c>
      <c r="R13" s="14">
        <f>+C13-K13</f>
        <v>32.253900000000044</v>
      </c>
    </row>
    <row r="14" spans="1:18" x14ac:dyDescent="0.2">
      <c r="A14" s="9" t="s">
        <v>49</v>
      </c>
      <c r="B14" s="14">
        <v>1658.4244999999999</v>
      </c>
      <c r="C14" s="14">
        <v>1275.6764999999998</v>
      </c>
      <c r="D14" s="14">
        <v>382.74800000000005</v>
      </c>
      <c r="E14" s="14">
        <f>+D14*0.461538461538462</f>
        <v>176.65292307692329</v>
      </c>
      <c r="F14" s="134">
        <f t="shared" ref="F14:F16" si="11">+B14*12</f>
        <v>19901.093999999997</v>
      </c>
      <c r="G14" s="166">
        <f t="shared" ref="G14:G16" si="12">+C14*12</f>
        <v>15308.117999999999</v>
      </c>
      <c r="H14" s="166">
        <f t="shared" ref="H14:H16" si="13">+D14*12</f>
        <v>4592.9760000000006</v>
      </c>
      <c r="I14" s="9" t="s">
        <v>49</v>
      </c>
      <c r="J14" s="14">
        <v>1586.53</v>
      </c>
      <c r="K14" s="14">
        <v>1214.9299999999998</v>
      </c>
      <c r="L14" s="14">
        <v>371.6</v>
      </c>
      <c r="M14" s="14">
        <v>171.50769230769248</v>
      </c>
      <c r="N14" s="115">
        <f t="shared" si="8"/>
        <v>1658.4244999999999</v>
      </c>
      <c r="O14" s="115">
        <f t="shared" si="9"/>
        <v>1275.6764999999998</v>
      </c>
      <c r="P14">
        <f t="shared" si="10"/>
        <v>382.74800000000005</v>
      </c>
      <c r="Q14" s="14">
        <f t="shared" ref="Q14:Q16" si="14">+D14-L14</f>
        <v>11.148000000000025</v>
      </c>
      <c r="R14" s="14">
        <f t="shared" ref="R14:R16" si="15">+C14-K14</f>
        <v>60.746499999999969</v>
      </c>
    </row>
    <row r="15" spans="1:18" x14ac:dyDescent="0.2">
      <c r="A15" s="9" t="s">
        <v>50</v>
      </c>
      <c r="B15" s="14">
        <v>1194.2085000000002</v>
      </c>
      <c r="C15" s="14">
        <v>920.1255000000001</v>
      </c>
      <c r="D15" s="14">
        <v>274.08300000000003</v>
      </c>
      <c r="E15" s="14">
        <f>+D15*0.461538461538462</f>
        <v>126.49984615384629</v>
      </c>
      <c r="F15" s="134">
        <f t="shared" si="11"/>
        <v>14330.502000000002</v>
      </c>
      <c r="G15" s="166">
        <f t="shared" si="12"/>
        <v>11041.506000000001</v>
      </c>
      <c r="H15" s="166">
        <f t="shared" si="13"/>
        <v>3288.9960000000001</v>
      </c>
      <c r="I15" s="9" t="s">
        <v>50</v>
      </c>
      <c r="J15" s="14">
        <v>1142.4100000000001</v>
      </c>
      <c r="K15" s="14">
        <v>876.31000000000006</v>
      </c>
      <c r="L15" s="14">
        <v>266.10000000000002</v>
      </c>
      <c r="M15" s="14">
        <v>122.81538461538474</v>
      </c>
      <c r="N15" s="115">
        <f t="shared" si="8"/>
        <v>1194.2085000000002</v>
      </c>
      <c r="O15" s="115">
        <f t="shared" si="9"/>
        <v>920.1255000000001</v>
      </c>
      <c r="P15">
        <f t="shared" si="10"/>
        <v>274.08300000000003</v>
      </c>
      <c r="Q15" s="14">
        <f t="shared" si="14"/>
        <v>7.9830000000000041</v>
      </c>
      <c r="R15" s="14">
        <f t="shared" si="15"/>
        <v>43.815500000000043</v>
      </c>
    </row>
    <row r="16" spans="1:18" x14ac:dyDescent="0.2">
      <c r="A16" s="9" t="s">
        <v>51</v>
      </c>
      <c r="B16" s="14">
        <v>2148.9853000000003</v>
      </c>
      <c r="C16" s="14">
        <v>1574.8530000000003</v>
      </c>
      <c r="D16" s="14">
        <v>574.13229999999999</v>
      </c>
      <c r="E16" s="14">
        <f>+D16*0.461538461538462</f>
        <v>264.98413846153875</v>
      </c>
      <c r="F16" s="134">
        <f t="shared" si="11"/>
        <v>25787.823600000003</v>
      </c>
      <c r="G16" s="166">
        <f t="shared" si="12"/>
        <v>18898.236000000004</v>
      </c>
      <c r="H16" s="166">
        <f t="shared" si="13"/>
        <v>6889.5875999999998</v>
      </c>
      <c r="I16" s="9" t="s">
        <v>51</v>
      </c>
      <c r="J16" s="14">
        <v>2057.27</v>
      </c>
      <c r="K16" s="14">
        <v>1499.8600000000001</v>
      </c>
      <c r="L16" s="14">
        <v>557.41</v>
      </c>
      <c r="M16" s="14">
        <v>257.26615384615411</v>
      </c>
      <c r="N16" s="115">
        <f t="shared" si="8"/>
        <v>2148.9853000000003</v>
      </c>
      <c r="O16" s="115">
        <f t="shared" si="9"/>
        <v>1574.8530000000003</v>
      </c>
      <c r="P16">
        <f t="shared" si="10"/>
        <v>574.13229999999999</v>
      </c>
      <c r="Q16" s="14">
        <f t="shared" si="14"/>
        <v>16.722300000000018</v>
      </c>
      <c r="R16" s="14">
        <f t="shared" si="15"/>
        <v>74.993000000000166</v>
      </c>
    </row>
    <row r="17" spans="1:12" x14ac:dyDescent="0.2">
      <c r="E17" s="14"/>
    </row>
    <row r="18" spans="1:12" x14ac:dyDescent="0.2">
      <c r="E18" s="14"/>
      <c r="G18" s="166"/>
    </row>
    <row r="19" spans="1:12" ht="15.75" customHeight="1" x14ac:dyDescent="0.25">
      <c r="A19" s="133"/>
      <c r="B19" s="133"/>
      <c r="C19" s="133"/>
      <c r="D19" s="133"/>
      <c r="E19" s="133"/>
      <c r="H19" s="149"/>
      <c r="I19" s="149"/>
      <c r="J19" s="149"/>
      <c r="K19" s="149"/>
      <c r="L19" s="149"/>
    </row>
    <row r="20" spans="1:12" ht="12.75" customHeight="1" x14ac:dyDescent="0.25">
      <c r="A20" s="133"/>
      <c r="B20" s="133"/>
      <c r="C20" s="133"/>
      <c r="D20" s="133"/>
      <c r="E20" s="133"/>
      <c r="H20" s="93"/>
      <c r="I20" s="93"/>
      <c r="J20" s="93"/>
      <c r="K20" s="94"/>
      <c r="L20" s="94"/>
    </row>
    <row r="21" spans="1:12" ht="12.75" customHeight="1" x14ac:dyDescent="0.25">
      <c r="A21" s="133"/>
      <c r="B21" s="133"/>
      <c r="C21" s="133"/>
      <c r="D21" s="133"/>
      <c r="E21" s="133"/>
      <c r="F21" s="14"/>
      <c r="G21" s="14"/>
      <c r="H21" s="14"/>
      <c r="I21" s="14"/>
      <c r="J21" s="14"/>
      <c r="K21" s="14"/>
      <c r="L21" s="14"/>
    </row>
    <row r="22" spans="1:12" ht="12.75" customHeight="1" x14ac:dyDescent="0.25">
      <c r="A22" s="133"/>
      <c r="B22" s="133"/>
      <c r="C22" s="133"/>
      <c r="D22" s="133"/>
      <c r="E22" s="133"/>
      <c r="H22" s="14"/>
      <c r="I22" s="14"/>
      <c r="J22" s="14"/>
      <c r="K22" s="14"/>
      <c r="L22" s="14"/>
    </row>
    <row r="23" spans="1:12" ht="12.75" customHeight="1" x14ac:dyDescent="0.25">
      <c r="A23" s="133"/>
      <c r="B23" s="133"/>
      <c r="C23" s="133"/>
      <c r="D23" s="133"/>
      <c r="E23" s="133"/>
      <c r="H23" s="14"/>
      <c r="I23" s="14"/>
      <c r="J23" s="14"/>
      <c r="K23" s="14"/>
      <c r="L23" s="14"/>
    </row>
    <row r="24" spans="1:12" ht="12.75" customHeight="1" x14ac:dyDescent="0.25">
      <c r="A24" s="133"/>
      <c r="B24" s="133"/>
      <c r="C24" s="133"/>
      <c r="D24" s="133"/>
      <c r="E24" s="133"/>
      <c r="H24" s="14"/>
      <c r="I24" s="14"/>
      <c r="J24" s="14"/>
      <c r="K24" s="14"/>
      <c r="L24" s="14"/>
    </row>
    <row r="25" spans="1:12" ht="12.75" customHeight="1" x14ac:dyDescent="0.25">
      <c r="A25" s="133"/>
      <c r="B25" s="133"/>
      <c r="C25" s="133"/>
      <c r="D25" s="133"/>
      <c r="E25" s="133"/>
    </row>
    <row r="26" spans="1:12" ht="12.75" customHeight="1" x14ac:dyDescent="0.25">
      <c r="A26" s="133"/>
      <c r="B26" s="133"/>
      <c r="C26" s="133"/>
      <c r="D26" s="133"/>
      <c r="E26" s="133"/>
    </row>
    <row r="27" spans="1:12" ht="12.75" customHeight="1" x14ac:dyDescent="0.25">
      <c r="A27" s="133"/>
      <c r="B27" s="133"/>
      <c r="C27" s="133"/>
      <c r="D27" s="133"/>
      <c r="E27" s="133"/>
    </row>
    <row r="28" spans="1:12" ht="18" customHeight="1" x14ac:dyDescent="0.25">
      <c r="A28" s="133"/>
      <c r="B28" s="133"/>
      <c r="C28" s="133"/>
      <c r="D28" s="133"/>
      <c r="E28" s="133"/>
    </row>
    <row r="29" spans="1:12" ht="12.75" customHeight="1" x14ac:dyDescent="0.25">
      <c r="A29" s="133"/>
      <c r="B29" s="133"/>
      <c r="C29" s="133"/>
      <c r="D29" s="133"/>
      <c r="E29" s="133"/>
    </row>
    <row r="30" spans="1:12" ht="15.75" customHeight="1" x14ac:dyDescent="0.25">
      <c r="A30" s="133"/>
      <c r="B30" s="133"/>
      <c r="C30" s="133"/>
      <c r="D30" s="133"/>
      <c r="E30" s="133"/>
    </row>
    <row r="31" spans="1:12" ht="12.75" customHeight="1" x14ac:dyDescent="0.25">
      <c r="A31" s="133"/>
      <c r="B31" s="133"/>
      <c r="C31" s="133"/>
      <c r="D31" s="133"/>
      <c r="E31" s="133"/>
      <c r="F31" s="34"/>
    </row>
    <row r="32" spans="1:12" ht="12.75" customHeight="1" x14ac:dyDescent="0.25">
      <c r="A32" s="133"/>
      <c r="B32" s="133"/>
      <c r="C32" s="133"/>
      <c r="D32" s="133"/>
      <c r="E32" s="133"/>
      <c r="F32" s="85"/>
    </row>
    <row r="33" spans="1:7" ht="12.75" customHeight="1" x14ac:dyDescent="0.25">
      <c r="A33" s="133"/>
      <c r="B33" s="133"/>
      <c r="C33" s="133"/>
      <c r="D33" s="133"/>
      <c r="E33" s="133"/>
      <c r="F33" s="85"/>
    </row>
    <row r="34" spans="1:7" ht="12.75" customHeight="1" x14ac:dyDescent="0.25">
      <c r="A34" s="133"/>
      <c r="B34" s="133"/>
      <c r="C34" s="133"/>
      <c r="D34" s="133"/>
      <c r="E34" s="133"/>
      <c r="F34" s="85"/>
    </row>
    <row r="35" spans="1:7" ht="12.75" customHeight="1" x14ac:dyDescent="0.25">
      <c r="A35" s="133"/>
      <c r="B35" s="133"/>
      <c r="C35" s="133"/>
      <c r="D35" s="133"/>
      <c r="E35" s="133"/>
      <c r="F35" s="85"/>
    </row>
    <row r="36" spans="1:7" ht="12.75" customHeight="1" x14ac:dyDescent="0.25">
      <c r="A36" s="133"/>
      <c r="B36" s="133"/>
      <c r="C36" s="133"/>
      <c r="D36" s="133"/>
      <c r="E36" s="133"/>
      <c r="F36" s="85"/>
    </row>
    <row r="37" spans="1:7" ht="12.75" customHeight="1" x14ac:dyDescent="0.25">
      <c r="A37" s="133"/>
      <c r="B37" s="133"/>
      <c r="C37" s="133"/>
      <c r="D37" s="133"/>
      <c r="E37" s="133"/>
      <c r="F37" s="85"/>
    </row>
    <row r="38" spans="1:7" ht="15.75" customHeight="1" x14ac:dyDescent="0.25">
      <c r="A38" s="133"/>
      <c r="B38" s="133"/>
      <c r="C38" s="133"/>
      <c r="D38" s="133"/>
      <c r="E38" s="133"/>
      <c r="F38" s="85"/>
    </row>
    <row r="39" spans="1:7" ht="12.75" customHeight="1" x14ac:dyDescent="0.25">
      <c r="A39" s="133"/>
      <c r="B39" s="133"/>
      <c r="C39" s="133"/>
      <c r="D39" s="133"/>
      <c r="E39" s="133"/>
      <c r="F39" s="85"/>
    </row>
    <row r="40" spans="1:7" ht="12.75" customHeight="1" x14ac:dyDescent="0.25">
      <c r="A40" s="133"/>
      <c r="B40" s="133"/>
      <c r="C40" s="133"/>
      <c r="D40" s="133"/>
      <c r="E40" s="133"/>
      <c r="F40" s="85"/>
      <c r="G40" s="14"/>
    </row>
    <row r="41" spans="1:7" ht="12.75" customHeight="1" x14ac:dyDescent="0.25">
      <c r="A41" s="133"/>
      <c r="B41" s="133"/>
      <c r="C41" s="133"/>
      <c r="D41" s="133"/>
      <c r="E41" s="133"/>
      <c r="F41" s="85"/>
    </row>
    <row r="42" spans="1:7" ht="12.75" customHeight="1" x14ac:dyDescent="0.25">
      <c r="A42" s="133"/>
      <c r="B42" s="133"/>
      <c r="C42" s="133"/>
      <c r="D42" s="133"/>
      <c r="E42" s="133"/>
      <c r="F42" s="85"/>
    </row>
    <row r="43" spans="1:7" ht="12.75" customHeight="1" x14ac:dyDescent="0.25">
      <c r="A43" s="133"/>
      <c r="B43" s="133"/>
      <c r="C43" s="133"/>
      <c r="D43" s="133"/>
      <c r="E43" s="133"/>
      <c r="F43" s="85"/>
    </row>
    <row r="44" spans="1:7" ht="12.75" customHeight="1" x14ac:dyDescent="0.25">
      <c r="A44" s="133"/>
      <c r="B44" s="133"/>
      <c r="C44" s="133"/>
      <c r="D44" s="133"/>
      <c r="E44" s="133"/>
    </row>
    <row r="45" spans="1:7" ht="12.75" customHeight="1" x14ac:dyDescent="0.25">
      <c r="A45" s="133"/>
      <c r="B45" s="133"/>
      <c r="C45" s="133"/>
      <c r="D45" s="133"/>
      <c r="E45" s="133"/>
    </row>
    <row r="46" spans="1:7" ht="15.75" customHeight="1" x14ac:dyDescent="0.25">
      <c r="A46" s="133"/>
      <c r="B46" s="133"/>
      <c r="C46" s="133"/>
      <c r="D46" s="133"/>
      <c r="E46" s="133"/>
    </row>
    <row r="47" spans="1:7" ht="12.75" customHeight="1" x14ac:dyDescent="0.25">
      <c r="A47" s="133"/>
      <c r="B47" s="133"/>
      <c r="C47" s="133"/>
      <c r="D47" s="133"/>
      <c r="E47" s="133"/>
    </row>
    <row r="48" spans="1:7" ht="12.75" customHeight="1" x14ac:dyDescent="0.25">
      <c r="A48" s="133"/>
      <c r="B48" s="133"/>
      <c r="C48" s="133"/>
      <c r="D48" s="133"/>
      <c r="E48" s="133"/>
      <c r="F48" s="14"/>
    </row>
    <row r="49" spans="1:6" ht="12.75" customHeight="1" x14ac:dyDescent="0.25">
      <c r="A49" s="133"/>
      <c r="B49" s="133"/>
      <c r="C49" s="133"/>
      <c r="D49" s="133"/>
      <c r="E49" s="133"/>
      <c r="F49" s="14"/>
    </row>
    <row r="50" spans="1:6" x14ac:dyDescent="0.2">
      <c r="A50" s="9"/>
      <c r="B50" s="14"/>
      <c r="C50" s="14"/>
      <c r="D50" s="14"/>
      <c r="E50" s="14"/>
      <c r="F50" s="14"/>
    </row>
    <row r="51" spans="1:6" x14ac:dyDescent="0.2">
      <c r="A51" s="9"/>
      <c r="B51" s="14"/>
      <c r="C51" s="14"/>
      <c r="D51" s="14"/>
      <c r="E51" s="14"/>
      <c r="F51" s="14"/>
    </row>
    <row r="53" spans="1:6" ht="12.75" customHeight="1" x14ac:dyDescent="0.2">
      <c r="A53" s="114"/>
      <c r="B53" s="115"/>
      <c r="C53" s="115"/>
      <c r="D53" s="115"/>
      <c r="E53" s="115"/>
    </row>
    <row r="54" spans="1:6" x14ac:dyDescent="0.2">
      <c r="A54" s="115"/>
      <c r="B54" s="115"/>
      <c r="C54" s="115"/>
      <c r="D54" s="115"/>
      <c r="E54" s="115"/>
    </row>
    <row r="55" spans="1:6" x14ac:dyDescent="0.2">
      <c r="A55" s="115"/>
      <c r="B55" s="115"/>
      <c r="C55" s="115"/>
      <c r="D55" s="115"/>
      <c r="E55" s="115"/>
    </row>
  </sheetData>
  <mergeCells count="7">
    <mergeCell ref="A1:E1"/>
    <mergeCell ref="A3:E3"/>
    <mergeCell ref="A11:E11"/>
    <mergeCell ref="H19:L19"/>
    <mergeCell ref="I3:M3"/>
    <mergeCell ref="I11:M11"/>
    <mergeCell ref="I2:M2"/>
  </mergeCells>
  <pageMargins left="0.7" right="0.7" top="0.75" bottom="0.75" header="0.3" footer="0.3"/>
  <pageSetup scale="3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6C96-6A4E-4362-AB70-DB142865E47E}">
  <sheetPr>
    <pageSetUpPr fitToPage="1"/>
  </sheetPr>
  <dimension ref="A1:L27"/>
  <sheetViews>
    <sheetView workbookViewId="0">
      <selection activeCell="B5" sqref="B5"/>
    </sheetView>
  </sheetViews>
  <sheetFormatPr defaultRowHeight="12.75" x14ac:dyDescent="0.2"/>
  <cols>
    <col min="1" max="1" width="22.7109375" customWidth="1"/>
    <col min="2" max="2" width="14.140625" customWidth="1"/>
    <col min="3" max="3" width="10.5703125" customWidth="1"/>
    <col min="4" max="4" width="12.85546875" customWidth="1"/>
    <col min="5" max="5" width="18.42578125" customWidth="1"/>
    <col min="6" max="6" width="19" customWidth="1"/>
    <col min="7" max="7" width="16.42578125" customWidth="1"/>
    <col min="8" max="8" width="16.140625" customWidth="1"/>
    <col min="9" max="9" width="10.7109375" customWidth="1"/>
    <col min="10" max="10" width="10.85546875" customWidth="1"/>
    <col min="11" max="11" width="10.5703125" customWidth="1"/>
    <col min="12" max="12" width="15.5703125" customWidth="1"/>
  </cols>
  <sheetData>
    <row r="1" spans="1:12" ht="18" x14ac:dyDescent="0.25">
      <c r="A1" s="147" t="s">
        <v>46</v>
      </c>
      <c r="B1" s="147"/>
      <c r="C1" s="147"/>
      <c r="D1" s="147"/>
      <c r="E1" s="147"/>
    </row>
    <row r="2" spans="1:12" x14ac:dyDescent="0.2">
      <c r="H2" s="150"/>
      <c r="I2" s="150"/>
      <c r="J2" s="150"/>
      <c r="K2" s="150"/>
      <c r="L2" s="150"/>
    </row>
    <row r="3" spans="1:12" ht="15.75" x14ac:dyDescent="0.25">
      <c r="A3" s="148" t="s">
        <v>47</v>
      </c>
      <c r="B3" s="148"/>
      <c r="C3" s="148"/>
      <c r="D3" s="148"/>
      <c r="E3" s="148"/>
      <c r="H3" s="151"/>
      <c r="I3" s="151"/>
      <c r="J3" s="151"/>
      <c r="K3" s="151"/>
      <c r="L3" s="151"/>
    </row>
    <row r="4" spans="1:12" x14ac:dyDescent="0.2">
      <c r="A4" s="112"/>
      <c r="B4" s="112" t="s">
        <v>52</v>
      </c>
      <c r="C4" s="112" t="s">
        <v>108</v>
      </c>
      <c r="D4" s="113"/>
      <c r="E4" s="113"/>
      <c r="H4" s="2"/>
      <c r="I4" s="2"/>
      <c r="J4" s="2"/>
      <c r="K4" s="92"/>
      <c r="L4" s="92"/>
    </row>
    <row r="5" spans="1:12" x14ac:dyDescent="0.2">
      <c r="A5" s="9" t="s">
        <v>48</v>
      </c>
      <c r="B5" s="14">
        <f>+Active!B5</f>
        <v>786.46119999999996</v>
      </c>
      <c r="C5" s="14">
        <f>+B5*1.02</f>
        <v>802.19042400000001</v>
      </c>
      <c r="D5" s="14"/>
      <c r="E5" s="14"/>
      <c r="H5" s="14"/>
      <c r="I5" s="14"/>
      <c r="J5" s="14"/>
      <c r="K5" s="14"/>
      <c r="L5" s="14"/>
    </row>
    <row r="6" spans="1:12" x14ac:dyDescent="0.2">
      <c r="A6" s="9" t="s">
        <v>49</v>
      </c>
      <c r="B6" s="14">
        <f>+Active!B6</f>
        <v>1940.6871000000001</v>
      </c>
      <c r="C6" s="14">
        <f t="shared" ref="C6:C7" si="0">+B6*1.02</f>
        <v>1979.5008420000001</v>
      </c>
      <c r="D6" s="14"/>
      <c r="E6" s="14"/>
      <c r="H6" s="14"/>
      <c r="I6" s="14"/>
      <c r="J6" s="14"/>
      <c r="K6" s="14"/>
      <c r="L6" s="14"/>
    </row>
    <row r="7" spans="1:12" x14ac:dyDescent="0.2">
      <c r="A7" s="9" t="s">
        <v>50</v>
      </c>
      <c r="B7" s="14">
        <f>+Active!B7</f>
        <v>1395.9573</v>
      </c>
      <c r="C7" s="14">
        <f t="shared" si="0"/>
        <v>1423.876446</v>
      </c>
      <c r="D7" s="14"/>
      <c r="E7" s="14"/>
      <c r="H7" s="14"/>
      <c r="I7" s="14"/>
      <c r="J7" s="14"/>
      <c r="K7" s="14"/>
      <c r="L7" s="14"/>
    </row>
    <row r="8" spans="1:12" x14ac:dyDescent="0.2">
      <c r="A8" s="9" t="s">
        <v>51</v>
      </c>
      <c r="B8" s="14">
        <f>+Active!B8</f>
        <v>2517.8051000000005</v>
      </c>
      <c r="C8" s="14">
        <f>+B8*1.02</f>
        <v>2568.1612020000007</v>
      </c>
      <c r="D8" s="14"/>
      <c r="E8" s="14"/>
      <c r="H8" s="14"/>
      <c r="I8" s="14"/>
      <c r="J8" s="14"/>
      <c r="K8" s="14"/>
      <c r="L8" s="14"/>
    </row>
    <row r="9" spans="1:12" x14ac:dyDescent="0.2">
      <c r="A9" s="98" t="s">
        <v>11</v>
      </c>
      <c r="B9" s="14">
        <f>+B6-B5</f>
        <v>1154.2259000000001</v>
      </c>
      <c r="C9" s="14">
        <f>+C6-C5</f>
        <v>1177.310418</v>
      </c>
      <c r="H9" s="14"/>
      <c r="I9" s="14"/>
      <c r="J9" s="14"/>
      <c r="K9" s="14"/>
      <c r="L9" s="14"/>
    </row>
    <row r="10" spans="1:12" x14ac:dyDescent="0.2">
      <c r="A10" s="98" t="s">
        <v>109</v>
      </c>
      <c r="B10" s="14">
        <f>+B8-B5</f>
        <v>1731.3439000000005</v>
      </c>
      <c r="C10" s="14">
        <f>+C8-C5</f>
        <v>1765.9707780000008</v>
      </c>
      <c r="H10" s="14"/>
      <c r="I10" s="14"/>
      <c r="J10" s="14"/>
      <c r="K10" s="14"/>
      <c r="L10" s="14"/>
    </row>
    <row r="11" spans="1:12" x14ac:dyDescent="0.2">
      <c r="A11" s="98" t="s">
        <v>111</v>
      </c>
      <c r="B11" s="14">
        <f>+B7-B5</f>
        <v>609.49610000000007</v>
      </c>
      <c r="C11" s="14">
        <f>+C7-C5</f>
        <v>621.68602199999998</v>
      </c>
      <c r="H11" s="14"/>
      <c r="I11" s="14"/>
      <c r="J11" s="14"/>
      <c r="K11" s="14"/>
      <c r="L11" s="14"/>
    </row>
    <row r="12" spans="1:12" x14ac:dyDescent="0.2">
      <c r="H12" s="14"/>
      <c r="I12" s="14"/>
      <c r="J12" s="14"/>
      <c r="K12" s="14"/>
      <c r="L12" s="14"/>
    </row>
    <row r="13" spans="1:12" ht="15.75" x14ac:dyDescent="0.25">
      <c r="A13" s="148" t="s">
        <v>55</v>
      </c>
      <c r="B13" s="148"/>
      <c r="C13" s="148"/>
      <c r="D13" s="148"/>
      <c r="E13" s="148"/>
      <c r="H13" s="149"/>
      <c r="I13" s="149"/>
      <c r="J13" s="149"/>
      <c r="K13" s="149"/>
      <c r="L13" s="149"/>
    </row>
    <row r="14" spans="1:12" x14ac:dyDescent="0.2">
      <c r="A14" s="112"/>
      <c r="B14" s="112" t="s">
        <v>52</v>
      </c>
      <c r="C14" s="112" t="s">
        <v>108</v>
      </c>
      <c r="D14" s="113"/>
      <c r="E14" s="113"/>
      <c r="H14" s="93"/>
      <c r="I14" s="93"/>
      <c r="J14" s="93"/>
      <c r="K14" s="94"/>
      <c r="L14" s="94"/>
    </row>
    <row r="15" spans="1:12" x14ac:dyDescent="0.2">
      <c r="A15" s="9" t="s">
        <v>48</v>
      </c>
      <c r="B15" s="14">
        <f>+Active!B13</f>
        <v>677.33190000000002</v>
      </c>
      <c r="C15" s="14">
        <f>+B15*1.02</f>
        <v>690.87853800000005</v>
      </c>
      <c r="D15" s="14"/>
      <c r="E15" s="14"/>
      <c r="G15" s="14"/>
      <c r="H15" s="14"/>
      <c r="I15" s="14"/>
      <c r="J15" s="14"/>
      <c r="K15" s="14"/>
      <c r="L15" s="14"/>
    </row>
    <row r="16" spans="1:12" x14ac:dyDescent="0.2">
      <c r="A16" s="9" t="s">
        <v>49</v>
      </c>
      <c r="B16" s="14">
        <f>+Active!B14</f>
        <v>1658.4244999999999</v>
      </c>
      <c r="C16" s="14">
        <f t="shared" ref="C16:C18" si="1">+B16*1.02</f>
        <v>1691.5929899999999</v>
      </c>
      <c r="D16" s="14"/>
      <c r="E16" s="14"/>
      <c r="G16" s="14"/>
      <c r="H16" s="14"/>
      <c r="I16" s="14"/>
      <c r="J16" s="14"/>
      <c r="K16" s="14"/>
      <c r="L16" s="14"/>
    </row>
    <row r="17" spans="1:12" x14ac:dyDescent="0.2">
      <c r="A17" s="9" t="s">
        <v>50</v>
      </c>
      <c r="B17" s="14">
        <f>+Active!B15</f>
        <v>1194.2085000000002</v>
      </c>
      <c r="C17" s="14">
        <f t="shared" si="1"/>
        <v>1218.0926700000002</v>
      </c>
      <c r="D17" s="14"/>
      <c r="E17" s="14"/>
      <c r="G17" s="14"/>
      <c r="H17" s="14"/>
      <c r="I17" s="14"/>
      <c r="J17" s="14"/>
      <c r="K17" s="14"/>
      <c r="L17" s="14"/>
    </row>
    <row r="18" spans="1:12" x14ac:dyDescent="0.2">
      <c r="A18" s="9" t="s">
        <v>51</v>
      </c>
      <c r="B18" s="14">
        <f>+Active!B16</f>
        <v>2148.9853000000003</v>
      </c>
      <c r="C18" s="14">
        <f t="shared" si="1"/>
        <v>2191.9650060000004</v>
      </c>
      <c r="D18" s="14"/>
      <c r="E18" s="14"/>
      <c r="H18" s="14"/>
      <c r="I18" s="14"/>
      <c r="J18" s="14"/>
      <c r="K18" s="14"/>
      <c r="L18" s="14"/>
    </row>
    <row r="19" spans="1:12" x14ac:dyDescent="0.2">
      <c r="A19" s="98" t="s">
        <v>11</v>
      </c>
      <c r="B19" s="14">
        <f>+B16-B15</f>
        <v>981.09259999999983</v>
      </c>
      <c r="C19" s="14">
        <f>+C16-C15</f>
        <v>1000.7144519999998</v>
      </c>
    </row>
    <row r="20" spans="1:12" x14ac:dyDescent="0.2">
      <c r="A20" s="98" t="s">
        <v>110</v>
      </c>
      <c r="B20" s="14">
        <f>+B18-B15</f>
        <v>1471.6534000000001</v>
      </c>
      <c r="C20" s="14">
        <f>+C18-C15</f>
        <v>1501.0864680000004</v>
      </c>
      <c r="E20" s="14"/>
    </row>
    <row r="21" spans="1:12" x14ac:dyDescent="0.2">
      <c r="A21" s="98" t="s">
        <v>111</v>
      </c>
      <c r="B21" s="14">
        <f>+B17-B15</f>
        <v>516.87660000000017</v>
      </c>
      <c r="C21" s="14">
        <f>+C17-C15</f>
        <v>527.21413200000018</v>
      </c>
    </row>
    <row r="25" spans="1:12" ht="12.75" customHeight="1" x14ac:dyDescent="0.2">
      <c r="A25" s="114"/>
      <c r="B25" s="115"/>
      <c r="C25" s="115"/>
      <c r="D25" s="115"/>
      <c r="E25" s="115"/>
    </row>
    <row r="26" spans="1:12" x14ac:dyDescent="0.2">
      <c r="A26" s="115"/>
      <c r="B26" s="115"/>
      <c r="C26" s="115"/>
      <c r="D26" s="115"/>
      <c r="E26" s="115"/>
    </row>
    <row r="27" spans="1:12" x14ac:dyDescent="0.2">
      <c r="A27" s="115"/>
      <c r="B27" s="115"/>
      <c r="C27" s="115"/>
      <c r="D27" s="115"/>
      <c r="E27" s="115"/>
    </row>
  </sheetData>
  <mergeCells count="6">
    <mergeCell ref="A1:E1"/>
    <mergeCell ref="H2:L2"/>
    <mergeCell ref="A3:E3"/>
    <mergeCell ref="H3:L3"/>
    <mergeCell ref="A13:E13"/>
    <mergeCell ref="H13:L13"/>
  </mergeCells>
  <pageMargins left="0.7" right="0.7" top="0.75" bottom="0.75" header="0.3" footer="0.3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96"/>
  <sheetViews>
    <sheetView topLeftCell="A6" workbookViewId="0">
      <pane ySplit="615" topLeftCell="A13" activePane="bottomLeft"/>
      <selection activeCell="J8" sqref="J8"/>
      <selection pane="bottomLeft" activeCell="J48" sqref="J48"/>
    </sheetView>
  </sheetViews>
  <sheetFormatPr defaultColWidth="8.85546875" defaultRowHeight="12.75" x14ac:dyDescent="0.2"/>
  <cols>
    <col min="1" max="1" width="30.7109375" customWidth="1"/>
    <col min="2" max="2" width="12" bestFit="1" customWidth="1"/>
    <col min="3" max="3" width="15.7109375" customWidth="1"/>
    <col min="4" max="4" width="12.42578125" bestFit="1" customWidth="1"/>
    <col min="5" max="6" width="10.7109375" customWidth="1"/>
    <col min="7" max="7" width="19.28515625" customWidth="1"/>
    <col min="8" max="10" width="15.7109375" style="106" customWidth="1"/>
    <col min="11" max="11" width="6" style="106" customWidth="1"/>
    <col min="12" max="12" width="13.42578125" customWidth="1"/>
    <col min="13" max="13" width="12.5703125" customWidth="1"/>
    <col min="14" max="14" width="10.28515625" customWidth="1"/>
    <col min="15" max="15" width="15.7109375" customWidth="1"/>
    <col min="16" max="16" width="10.140625" bestFit="1" customWidth="1"/>
    <col min="17" max="17" width="9.7109375" bestFit="1" customWidth="1"/>
    <col min="18" max="18" width="9.140625" bestFit="1" customWidth="1"/>
    <col min="22" max="24" width="10.28515625" bestFit="1" customWidth="1"/>
  </cols>
  <sheetData>
    <row r="1" spans="1:27" ht="18" x14ac:dyDescent="0.25">
      <c r="A1" s="147" t="s">
        <v>47</v>
      </c>
      <c r="B1" s="147"/>
      <c r="C1" s="147"/>
      <c r="D1" s="147"/>
      <c r="E1" s="147"/>
      <c r="F1" s="147"/>
    </row>
    <row r="2" spans="1:27" ht="18" customHeight="1" x14ac:dyDescent="0.25">
      <c r="A2" s="147" t="s">
        <v>119</v>
      </c>
      <c r="B2" s="147"/>
      <c r="C2" s="147"/>
      <c r="D2" s="147"/>
      <c r="E2" s="147"/>
      <c r="F2" s="147"/>
    </row>
    <row r="3" spans="1:27" ht="18" customHeight="1" x14ac:dyDescent="0.25">
      <c r="A3" s="147" t="s">
        <v>19</v>
      </c>
      <c r="B3" s="147"/>
      <c r="C3" s="147"/>
      <c r="D3" s="147"/>
      <c r="E3" s="147"/>
      <c r="F3" s="147"/>
    </row>
    <row r="4" spans="1:27" ht="28.5" customHeight="1" x14ac:dyDescent="0.25">
      <c r="A4" s="1"/>
      <c r="B4" s="156"/>
      <c r="C4" s="156"/>
      <c r="D4" s="156"/>
      <c r="E4" s="81"/>
      <c r="F4" s="81"/>
    </row>
    <row r="5" spans="1:27" ht="18" customHeight="1" x14ac:dyDescent="0.2">
      <c r="B5" s="4">
        <v>2025</v>
      </c>
      <c r="C5" s="4">
        <v>2025</v>
      </c>
      <c r="D5" s="4">
        <v>2025</v>
      </c>
      <c r="E5" s="153" t="s">
        <v>121</v>
      </c>
      <c r="F5" s="153"/>
      <c r="G5" s="4" t="s">
        <v>95</v>
      </c>
      <c r="L5" s="95">
        <v>2024</v>
      </c>
      <c r="M5" s="95">
        <v>2024</v>
      </c>
      <c r="N5" s="95">
        <v>2024</v>
      </c>
      <c r="O5" s="132">
        <v>2025</v>
      </c>
      <c r="P5" s="132">
        <v>2025</v>
      </c>
      <c r="Q5" s="132">
        <v>2025</v>
      </c>
    </row>
    <row r="6" spans="1:27" ht="18" customHeight="1" x14ac:dyDescent="0.25">
      <c r="A6" s="3" t="s">
        <v>0</v>
      </c>
      <c r="B6" s="4" t="s">
        <v>2</v>
      </c>
      <c r="C6" s="4" t="s">
        <v>3</v>
      </c>
      <c r="D6" s="4" t="s">
        <v>8</v>
      </c>
      <c r="E6" s="27">
        <v>50</v>
      </c>
      <c r="F6" s="27">
        <v>100</v>
      </c>
      <c r="G6" s="4"/>
      <c r="H6" s="106" t="s">
        <v>2</v>
      </c>
      <c r="I6" s="106" t="s">
        <v>104</v>
      </c>
      <c r="J6" s="106" t="s">
        <v>8</v>
      </c>
      <c r="L6" s="95" t="s">
        <v>2</v>
      </c>
      <c r="M6" s="95" t="s">
        <v>3</v>
      </c>
      <c r="N6" s="95" t="s">
        <v>8</v>
      </c>
      <c r="O6" s="134" t="s">
        <v>2</v>
      </c>
      <c r="P6" s="134" t="s">
        <v>3</v>
      </c>
      <c r="Q6" s="134" t="s">
        <v>114</v>
      </c>
      <c r="R6" s="134"/>
      <c r="S6" s="134"/>
      <c r="T6" s="134"/>
      <c r="U6" s="134"/>
    </row>
    <row r="7" spans="1:27" x14ac:dyDescent="0.2">
      <c r="B7" s="4" t="s">
        <v>1</v>
      </c>
      <c r="C7" s="4" t="s">
        <v>4</v>
      </c>
      <c r="D7" s="4" t="s">
        <v>4</v>
      </c>
      <c r="E7" s="2" t="s">
        <v>26</v>
      </c>
      <c r="F7" s="4" t="s">
        <v>26</v>
      </c>
      <c r="G7" s="4"/>
      <c r="H7" s="108" t="s">
        <v>107</v>
      </c>
      <c r="I7" s="108" t="s">
        <v>107</v>
      </c>
      <c r="J7" s="108" t="s">
        <v>107</v>
      </c>
      <c r="K7" s="108"/>
      <c r="L7" s="95" t="s">
        <v>1</v>
      </c>
      <c r="M7" s="95" t="s">
        <v>4</v>
      </c>
      <c r="N7" s="95" t="s">
        <v>4</v>
      </c>
      <c r="O7" s="134" t="s">
        <v>1</v>
      </c>
      <c r="P7" s="134" t="s">
        <v>1</v>
      </c>
      <c r="Q7" s="134" t="s">
        <v>1</v>
      </c>
      <c r="R7" s="134"/>
      <c r="S7" s="134"/>
      <c r="T7" s="134"/>
      <c r="U7" s="134"/>
    </row>
    <row r="8" spans="1:27" x14ac:dyDescent="0.2">
      <c r="A8" s="2" t="s">
        <v>25</v>
      </c>
      <c r="B8" s="2"/>
      <c r="C8" s="2"/>
      <c r="D8" s="4"/>
      <c r="E8" s="2"/>
      <c r="F8" s="4"/>
      <c r="G8" s="4"/>
      <c r="L8" s="2"/>
      <c r="M8" s="2"/>
      <c r="N8" s="95"/>
      <c r="O8" s="134"/>
      <c r="P8" s="134"/>
      <c r="Q8" s="134"/>
      <c r="R8" s="134"/>
      <c r="S8" s="134"/>
      <c r="T8" s="134"/>
      <c r="U8" s="134"/>
    </row>
    <row r="9" spans="1:27" x14ac:dyDescent="0.2">
      <c r="A9" s="2" t="s">
        <v>6</v>
      </c>
      <c r="B9" s="2"/>
      <c r="C9" s="2"/>
      <c r="D9" s="4"/>
      <c r="E9" s="2"/>
      <c r="F9" s="4"/>
      <c r="G9" s="4"/>
      <c r="L9" s="2"/>
      <c r="M9" s="2"/>
      <c r="N9" s="95"/>
      <c r="O9" s="134"/>
      <c r="P9" s="134"/>
      <c r="Q9" s="134"/>
      <c r="R9" s="134"/>
      <c r="S9" s="134"/>
      <c r="T9" s="134"/>
      <c r="U9" s="134"/>
    </row>
    <row r="10" spans="1:27" x14ac:dyDescent="0.2">
      <c r="A10" s="2" t="s">
        <v>7</v>
      </c>
      <c r="B10" s="2"/>
      <c r="C10" s="2"/>
      <c r="D10" s="4"/>
      <c r="E10" s="2"/>
      <c r="F10" s="4"/>
      <c r="G10" s="4"/>
      <c r="L10" s="2"/>
      <c r="M10" s="2"/>
      <c r="N10" s="95"/>
      <c r="O10" s="134"/>
      <c r="P10" s="135"/>
      <c r="Q10" s="135"/>
      <c r="R10" s="135"/>
      <c r="S10" s="71"/>
      <c r="T10" s="71"/>
      <c r="U10" s="71"/>
      <c r="V10" s="36"/>
      <c r="W10" s="36"/>
      <c r="X10" s="36"/>
      <c r="Y10" s="36"/>
      <c r="Z10" s="36"/>
      <c r="AA10" s="36"/>
    </row>
    <row r="11" spans="1:27" x14ac:dyDescent="0.2">
      <c r="B11" s="2"/>
      <c r="C11" s="2"/>
      <c r="D11" s="4"/>
      <c r="E11" s="2"/>
      <c r="F11" s="4"/>
      <c r="G11" s="4"/>
      <c r="L11" s="2"/>
      <c r="M11" s="2"/>
      <c r="N11" s="95"/>
      <c r="O11" s="134"/>
      <c r="P11" s="71"/>
      <c r="Q11" s="71"/>
      <c r="R11" s="71"/>
      <c r="S11" s="71"/>
      <c r="T11" s="71"/>
      <c r="U11" s="71"/>
      <c r="V11" s="36"/>
      <c r="W11" s="36"/>
      <c r="X11" s="36"/>
      <c r="Y11" s="36"/>
      <c r="Z11" s="36"/>
      <c r="AA11" s="36"/>
    </row>
    <row r="12" spans="1:27" x14ac:dyDescent="0.2">
      <c r="A12" s="10" t="s">
        <v>33</v>
      </c>
      <c r="E12" s="25"/>
      <c r="F12" s="25"/>
      <c r="O12" s="134"/>
      <c r="P12" s="136"/>
      <c r="Q12" s="136"/>
      <c r="R12" s="136"/>
      <c r="S12" s="71"/>
      <c r="T12" s="137"/>
      <c r="U12" s="137"/>
      <c r="V12" s="36"/>
      <c r="W12" s="36"/>
      <c r="X12" s="36"/>
      <c r="Y12" s="36"/>
      <c r="Z12" s="36"/>
      <c r="AA12" s="36"/>
    </row>
    <row r="13" spans="1:27" x14ac:dyDescent="0.2">
      <c r="A13" t="s">
        <v>14</v>
      </c>
      <c r="B13" s="14">
        <v>1556.598</v>
      </c>
      <c r="C13" s="14">
        <f>+B13-D13</f>
        <v>1456.598</v>
      </c>
      <c r="D13" s="14">
        <v>100</v>
      </c>
      <c r="E13" s="15">
        <f>D13+50</f>
        <v>150</v>
      </c>
      <c r="F13" s="15">
        <f>D13+100</f>
        <v>200</v>
      </c>
      <c r="G13" s="14"/>
      <c r="H13" s="97">
        <f t="shared" ref="H13:J16" si="0">+B13*12</f>
        <v>18679.175999999999</v>
      </c>
      <c r="I13" s="97">
        <f t="shared" si="0"/>
        <v>17479.175999999999</v>
      </c>
      <c r="J13" s="97">
        <f t="shared" si="0"/>
        <v>1200</v>
      </c>
      <c r="K13" s="97"/>
      <c r="L13" s="14">
        <v>1303.8</v>
      </c>
      <c r="M13" s="14">
        <v>1203.8</v>
      </c>
      <c r="N13" s="14">
        <v>100</v>
      </c>
      <c r="O13" s="105">
        <f>+P13+Q13</f>
        <v>1556.598</v>
      </c>
      <c r="P13" s="71">
        <f>+M13*1.21</f>
        <v>1456.598</v>
      </c>
      <c r="Q13" s="71">
        <v>100</v>
      </c>
      <c r="R13" s="71">
        <f>+O13*12</f>
        <v>18679.175999999999</v>
      </c>
      <c r="S13" s="71">
        <f>+P13*12</f>
        <v>17479.175999999999</v>
      </c>
      <c r="T13" s="71">
        <f>+Q13*12</f>
        <v>1200</v>
      </c>
      <c r="U13" s="138"/>
      <c r="V13" s="36"/>
      <c r="W13" s="36"/>
      <c r="X13" s="36"/>
      <c r="Y13" s="36"/>
      <c r="Z13" s="36"/>
      <c r="AA13" s="36"/>
    </row>
    <row r="14" spans="1:27" x14ac:dyDescent="0.2">
      <c r="A14" t="s">
        <v>15</v>
      </c>
      <c r="B14" s="14">
        <v>3594.0322000000001</v>
      </c>
      <c r="C14" s="14">
        <f t="shared" ref="C14:C16" si="1">+B14-D14</f>
        <v>2810.9025999999999</v>
      </c>
      <c r="D14" s="14">
        <v>783.1296000000001</v>
      </c>
      <c r="E14" s="15">
        <f>D14+50</f>
        <v>833.1296000000001</v>
      </c>
      <c r="F14" s="15">
        <f>D14+100</f>
        <v>883.1296000000001</v>
      </c>
      <c r="G14" s="14"/>
      <c r="H14" s="97">
        <f t="shared" si="0"/>
        <v>43128.386400000003</v>
      </c>
      <c r="I14" s="97">
        <f t="shared" si="0"/>
        <v>33730.831200000001</v>
      </c>
      <c r="J14" s="97">
        <f t="shared" si="0"/>
        <v>9397.5552000000007</v>
      </c>
      <c r="K14" s="97"/>
      <c r="L14" s="14">
        <v>3083.38</v>
      </c>
      <c r="M14" s="14">
        <v>2323.06</v>
      </c>
      <c r="N14" s="14">
        <v>760.32</v>
      </c>
      <c r="O14" s="105">
        <f>+P14+Q14</f>
        <v>3594.0322000000001</v>
      </c>
      <c r="P14" s="71">
        <f>+M14*1.21</f>
        <v>2810.9025999999999</v>
      </c>
      <c r="Q14" s="71">
        <f>+N14*1.03</f>
        <v>783.1296000000001</v>
      </c>
      <c r="R14" s="71">
        <f t="shared" ref="R14:R16" si="2">+O14*12</f>
        <v>43128.386400000003</v>
      </c>
      <c r="S14" s="71">
        <f t="shared" ref="S14:S16" si="3">+P14*12</f>
        <v>33730.831200000001</v>
      </c>
      <c r="T14" s="71">
        <f t="shared" ref="T14:T16" si="4">+Q14*12</f>
        <v>9397.5552000000007</v>
      </c>
      <c r="U14" s="138"/>
      <c r="V14" s="36"/>
      <c r="W14" s="36"/>
      <c r="X14" s="36"/>
      <c r="Y14" s="36"/>
      <c r="Z14" s="36"/>
      <c r="AA14" s="36"/>
    </row>
    <row r="15" spans="1:27" x14ac:dyDescent="0.2">
      <c r="A15" t="s">
        <v>16</v>
      </c>
      <c r="B15" s="14">
        <v>2645.4186999999997</v>
      </c>
      <c r="C15" s="14">
        <f t="shared" si="1"/>
        <v>2173.9464999999996</v>
      </c>
      <c r="D15" s="14">
        <v>471.47220000000004</v>
      </c>
      <c r="E15" s="15">
        <f>D15+50</f>
        <v>521.47220000000004</v>
      </c>
      <c r="F15" s="15">
        <f>D15+100</f>
        <v>571.47220000000004</v>
      </c>
      <c r="G15" s="14"/>
      <c r="H15" s="97">
        <f t="shared" si="0"/>
        <v>31745.024399999995</v>
      </c>
      <c r="I15" s="97">
        <f t="shared" si="0"/>
        <v>26087.357999999993</v>
      </c>
      <c r="J15" s="97">
        <f t="shared" si="0"/>
        <v>5657.6664000000001</v>
      </c>
      <c r="K15" s="97"/>
      <c r="L15" s="14">
        <v>2254.39</v>
      </c>
      <c r="M15" s="14">
        <v>1796.6499999999999</v>
      </c>
      <c r="N15" s="14">
        <v>457.74</v>
      </c>
      <c r="O15" s="105">
        <f t="shared" ref="O15:O16" si="5">+P15+Q15</f>
        <v>2645.4186999999997</v>
      </c>
      <c r="P15" s="71">
        <f>+M15*1.21</f>
        <v>2173.9464999999996</v>
      </c>
      <c r="Q15" s="71">
        <f t="shared" ref="Q15:Q16" si="6">+N15*1.03</f>
        <v>471.47220000000004</v>
      </c>
      <c r="R15" s="71">
        <f t="shared" si="2"/>
        <v>31745.024399999995</v>
      </c>
      <c r="S15" s="71">
        <f t="shared" si="3"/>
        <v>26087.357999999993</v>
      </c>
      <c r="T15" s="71">
        <f t="shared" si="4"/>
        <v>5657.6664000000001</v>
      </c>
      <c r="U15" s="138"/>
      <c r="V15" s="36"/>
      <c r="W15" s="36"/>
      <c r="X15" s="36"/>
      <c r="Y15" s="36"/>
      <c r="Z15" s="36"/>
      <c r="AA15" s="36"/>
    </row>
    <row r="16" spans="1:27" x14ac:dyDescent="0.2">
      <c r="A16" t="s">
        <v>17</v>
      </c>
      <c r="B16" s="14">
        <v>4608.8972999999996</v>
      </c>
      <c r="C16" s="14">
        <f t="shared" si="1"/>
        <v>3488.0306999999993</v>
      </c>
      <c r="D16" s="14">
        <v>1120.8666000000001</v>
      </c>
      <c r="E16" s="15">
        <f>D16+50</f>
        <v>1170.8666000000001</v>
      </c>
      <c r="F16" s="15">
        <f>D16+100</f>
        <v>1220.8666000000001</v>
      </c>
      <c r="G16" s="14"/>
      <c r="H16" s="97">
        <f t="shared" si="0"/>
        <v>55306.767599999992</v>
      </c>
      <c r="I16" s="97">
        <f t="shared" si="0"/>
        <v>41856.368399999992</v>
      </c>
      <c r="J16" s="97">
        <f t="shared" si="0"/>
        <v>13450.3992</v>
      </c>
      <c r="K16" s="97"/>
      <c r="L16" s="14">
        <v>3970.89</v>
      </c>
      <c r="M16" s="14">
        <v>2882.67</v>
      </c>
      <c r="N16" s="14">
        <v>1088.22</v>
      </c>
      <c r="O16" s="105">
        <f t="shared" si="5"/>
        <v>4608.8972999999996</v>
      </c>
      <c r="P16" s="71">
        <f>+M16*1.21</f>
        <v>3488.0306999999998</v>
      </c>
      <c r="Q16" s="71">
        <f t="shared" si="6"/>
        <v>1120.8666000000001</v>
      </c>
      <c r="R16" s="71">
        <f t="shared" si="2"/>
        <v>55306.767599999992</v>
      </c>
      <c r="S16" s="71">
        <f t="shared" si="3"/>
        <v>41856.368399999999</v>
      </c>
      <c r="T16" s="71">
        <f t="shared" si="4"/>
        <v>13450.3992</v>
      </c>
      <c r="U16" s="138"/>
      <c r="V16" s="36"/>
      <c r="W16" s="36"/>
      <c r="X16" s="36"/>
      <c r="Y16" s="36"/>
      <c r="Z16" s="36"/>
      <c r="AA16" s="36"/>
    </row>
    <row r="17" spans="1:27" x14ac:dyDescent="0.2">
      <c r="B17" s="14"/>
      <c r="C17" s="14"/>
      <c r="D17" s="14"/>
      <c r="E17" s="7"/>
      <c r="F17" s="12"/>
      <c r="G17" s="14"/>
      <c r="H17" s="97"/>
      <c r="I17" s="97"/>
      <c r="J17" s="97"/>
      <c r="K17" s="97"/>
      <c r="L17" s="14"/>
      <c r="M17" s="14"/>
      <c r="N17" s="14"/>
      <c r="O17" s="105"/>
      <c r="P17" s="71"/>
      <c r="Q17" s="71"/>
      <c r="R17" s="71"/>
      <c r="S17" s="71"/>
      <c r="T17" s="71"/>
      <c r="U17" s="71"/>
      <c r="V17" s="36"/>
      <c r="W17" s="36"/>
      <c r="X17" s="36"/>
      <c r="Y17" s="36"/>
      <c r="Z17" s="36"/>
      <c r="AA17" s="36"/>
    </row>
    <row r="18" spans="1:27" x14ac:dyDescent="0.2">
      <c r="B18" s="14"/>
      <c r="C18" s="14"/>
      <c r="D18" s="14"/>
      <c r="F18" s="12"/>
      <c r="G18" s="14"/>
      <c r="H18" s="97"/>
      <c r="I18" s="97"/>
      <c r="J18" s="97"/>
      <c r="K18" s="97"/>
      <c r="L18" s="14"/>
      <c r="M18" s="14"/>
      <c r="N18" s="14"/>
      <c r="O18" s="105"/>
      <c r="P18" s="71"/>
      <c r="Q18" s="71"/>
      <c r="R18" s="71"/>
      <c r="S18" s="71"/>
      <c r="T18" s="71"/>
      <c r="U18" s="71"/>
      <c r="V18" s="36"/>
      <c r="W18" s="36"/>
      <c r="X18" s="36"/>
      <c r="Y18" s="36"/>
      <c r="Z18" s="36"/>
      <c r="AA18" s="36"/>
    </row>
    <row r="19" spans="1:27" x14ac:dyDescent="0.2">
      <c r="A19" s="2" t="s">
        <v>6</v>
      </c>
      <c r="B19" s="14"/>
      <c r="C19" s="14"/>
      <c r="D19" s="14"/>
      <c r="F19" s="12"/>
      <c r="G19" s="14"/>
      <c r="H19" s="97"/>
      <c r="I19" s="97"/>
      <c r="J19" s="97"/>
      <c r="K19" s="97"/>
      <c r="L19" s="14"/>
      <c r="M19" s="14"/>
      <c r="N19" s="14"/>
      <c r="O19" s="105"/>
      <c r="P19" s="71"/>
      <c r="Q19" s="71"/>
      <c r="R19" s="71"/>
      <c r="S19" s="71"/>
      <c r="T19" s="71"/>
      <c r="U19" s="71"/>
      <c r="V19" s="36"/>
      <c r="W19" s="36"/>
      <c r="X19" s="36"/>
      <c r="Y19" s="36"/>
      <c r="Z19" s="36"/>
      <c r="AA19" s="36"/>
    </row>
    <row r="20" spans="1:27" x14ac:dyDescent="0.2">
      <c r="A20" s="2" t="s">
        <v>9</v>
      </c>
      <c r="B20" s="14"/>
      <c r="C20" s="14"/>
      <c r="D20" s="14"/>
      <c r="F20" s="12"/>
      <c r="G20" s="14"/>
      <c r="H20" s="97"/>
      <c r="I20" s="97"/>
      <c r="J20" s="97"/>
      <c r="K20" s="97"/>
      <c r="L20" s="14"/>
      <c r="M20" s="14"/>
      <c r="N20" s="14"/>
      <c r="O20" s="105"/>
      <c r="P20" s="71"/>
      <c r="Q20" s="71"/>
      <c r="R20" s="71"/>
      <c r="S20" s="71"/>
      <c r="T20" s="71"/>
      <c r="U20" s="71"/>
      <c r="V20" s="36"/>
      <c r="W20" s="36"/>
      <c r="X20" s="36"/>
      <c r="Y20" s="36"/>
      <c r="Z20" s="36"/>
      <c r="AA20" s="36"/>
    </row>
    <row r="21" spans="1:27" x14ac:dyDescent="0.2">
      <c r="A21" s="2"/>
      <c r="B21" s="14"/>
      <c r="C21" s="14"/>
      <c r="D21" s="14"/>
      <c r="F21" s="12"/>
      <c r="G21" s="14"/>
      <c r="H21" s="97"/>
      <c r="I21" s="97"/>
      <c r="J21" s="97"/>
      <c r="K21" s="97"/>
      <c r="L21" s="14"/>
      <c r="M21" s="14"/>
      <c r="N21" s="14"/>
      <c r="O21" s="105"/>
      <c r="P21" s="139"/>
      <c r="Q21" s="135"/>
      <c r="R21" s="135"/>
      <c r="S21" s="135"/>
      <c r="T21" s="135"/>
      <c r="U21" s="135"/>
      <c r="V21" s="154"/>
      <c r="W21" s="155"/>
      <c r="X21" s="155"/>
      <c r="Y21" s="155"/>
      <c r="Z21" s="155"/>
      <c r="AA21" s="155"/>
    </row>
    <row r="22" spans="1:27" x14ac:dyDescent="0.2">
      <c r="A22" s="10" t="s">
        <v>33</v>
      </c>
      <c r="B22" s="14"/>
      <c r="C22" s="14"/>
      <c r="D22" s="14"/>
      <c r="F22" s="12"/>
      <c r="G22" s="14"/>
      <c r="H22" s="97"/>
      <c r="I22" s="97"/>
      <c r="J22" s="97"/>
      <c r="K22" s="97"/>
      <c r="L22" s="14"/>
      <c r="M22" s="14"/>
      <c r="N22" s="14"/>
      <c r="O22" s="105"/>
      <c r="P22" s="136"/>
      <c r="Q22" s="136"/>
      <c r="R22" s="136"/>
      <c r="S22" s="71"/>
      <c r="T22" s="71"/>
      <c r="U22" s="136"/>
      <c r="V22" s="111"/>
      <c r="W22" s="111"/>
      <c r="X22" s="111"/>
      <c r="Y22" s="36"/>
      <c r="Z22" s="36"/>
      <c r="AA22" s="87"/>
    </row>
    <row r="23" spans="1:27" x14ac:dyDescent="0.2">
      <c r="A23" t="s">
        <v>14</v>
      </c>
      <c r="B23" s="14">
        <v>1556.598</v>
      </c>
      <c r="C23" s="14">
        <f>+B23-D23</f>
        <v>1131.1152999999999</v>
      </c>
      <c r="D23" s="14">
        <v>425.48269999999997</v>
      </c>
      <c r="E23" s="14">
        <f>D23+50</f>
        <v>475.48269999999997</v>
      </c>
      <c r="F23" s="12">
        <f>D23+100</f>
        <v>525.48270000000002</v>
      </c>
      <c r="G23" s="14"/>
      <c r="H23" s="97">
        <f t="shared" ref="H23:J26" si="7">+B23*12</f>
        <v>18679.175999999999</v>
      </c>
      <c r="I23" s="97">
        <f t="shared" si="7"/>
        <v>13573.383599999999</v>
      </c>
      <c r="J23" s="97">
        <f t="shared" si="7"/>
        <v>5105.7923999999994</v>
      </c>
      <c r="K23" s="97"/>
      <c r="L23" s="14">
        <v>1303.8</v>
      </c>
      <c r="M23" s="14">
        <v>890.71</v>
      </c>
      <c r="N23" s="14">
        <v>413.09</v>
      </c>
      <c r="O23" s="105">
        <v>1556.598</v>
      </c>
      <c r="P23" s="71">
        <f>+M23*1.21</f>
        <v>1077.7591</v>
      </c>
      <c r="Q23" s="71">
        <f t="shared" ref="Q23:Q26" si="8">+N23*1.03</f>
        <v>425.48269999999997</v>
      </c>
      <c r="R23" s="71">
        <f t="shared" ref="R23:R26" si="9">+O23*12</f>
        <v>18679.175999999999</v>
      </c>
      <c r="S23" s="71">
        <f t="shared" ref="S23:S26" si="10">+P23*12</f>
        <v>12933.109199999999</v>
      </c>
      <c r="T23" s="71">
        <f t="shared" ref="T23:T26" si="11">+Q23*12</f>
        <v>5105.7923999999994</v>
      </c>
      <c r="U23" s="71"/>
      <c r="V23" s="100"/>
      <c r="W23" s="100"/>
      <c r="X23" s="100"/>
      <c r="Y23" s="99"/>
      <c r="Z23" s="99"/>
      <c r="AA23" s="53"/>
    </row>
    <row r="24" spans="1:27" x14ac:dyDescent="0.2">
      <c r="A24" t="s">
        <v>15</v>
      </c>
      <c r="B24" s="14">
        <v>3594.0322000000001</v>
      </c>
      <c r="C24" s="14">
        <f>+B24-D24</f>
        <v>2633.4954000000002</v>
      </c>
      <c r="D24" s="14">
        <v>960.53679999999997</v>
      </c>
      <c r="E24" s="14">
        <f>D24+50</f>
        <v>1010.5368</v>
      </c>
      <c r="F24" s="12">
        <f>D24+100</f>
        <v>1060.5367999999999</v>
      </c>
      <c r="G24" s="14"/>
      <c r="H24" s="97">
        <f t="shared" si="7"/>
        <v>43128.386400000003</v>
      </c>
      <c r="I24" s="97">
        <f t="shared" si="7"/>
        <v>31601.944800000005</v>
      </c>
      <c r="J24" s="97">
        <f t="shared" si="7"/>
        <v>11526.4416</v>
      </c>
      <c r="K24" s="97"/>
      <c r="L24" s="14">
        <v>3083.38</v>
      </c>
      <c r="M24" s="14">
        <v>2150.8200000000002</v>
      </c>
      <c r="N24" s="14">
        <v>932.56</v>
      </c>
      <c r="O24" s="105">
        <v>3594.0322000000001</v>
      </c>
      <c r="P24" s="71">
        <f>+M24*1.21</f>
        <v>2602.4922000000001</v>
      </c>
      <c r="Q24" s="71">
        <f t="shared" si="8"/>
        <v>960.53679999999997</v>
      </c>
      <c r="R24" s="71">
        <f t="shared" si="9"/>
        <v>43128.386400000003</v>
      </c>
      <c r="S24" s="71">
        <f t="shared" si="10"/>
        <v>31229.9064</v>
      </c>
      <c r="T24" s="71">
        <f t="shared" si="11"/>
        <v>11526.4416</v>
      </c>
      <c r="U24" s="71"/>
      <c r="V24" s="100"/>
      <c r="W24" s="100"/>
      <c r="X24" s="100"/>
      <c r="Y24" s="99"/>
      <c r="Z24" s="99"/>
      <c r="AA24" s="53"/>
    </row>
    <row r="25" spans="1:27" x14ac:dyDescent="0.2">
      <c r="A25" t="s">
        <v>16</v>
      </c>
      <c r="B25" s="14">
        <v>2645.4186999999997</v>
      </c>
      <c r="C25" s="14">
        <f>+B25-D25</f>
        <v>1860.6410999999998</v>
      </c>
      <c r="D25" s="14">
        <v>784.77760000000001</v>
      </c>
      <c r="E25" s="14">
        <f>D25+50</f>
        <v>834.77760000000001</v>
      </c>
      <c r="F25" s="12">
        <f>D25+100</f>
        <v>884.77760000000001</v>
      </c>
      <c r="G25" s="14"/>
      <c r="H25" s="97">
        <f t="shared" si="7"/>
        <v>31745.024399999995</v>
      </c>
      <c r="I25" s="97">
        <f>+C25*12</f>
        <v>22327.693199999998</v>
      </c>
      <c r="J25" s="97">
        <f t="shared" si="7"/>
        <v>9417.3312000000005</v>
      </c>
      <c r="K25" s="97"/>
      <c r="L25" s="14">
        <v>2254.39</v>
      </c>
      <c r="M25" s="14">
        <v>1492.4699999999998</v>
      </c>
      <c r="N25" s="14">
        <v>761.92</v>
      </c>
      <c r="O25" s="105">
        <v>2645.4186999999997</v>
      </c>
      <c r="P25" s="71">
        <f>+M25*1.21</f>
        <v>1805.8886999999997</v>
      </c>
      <c r="Q25" s="71">
        <f t="shared" si="8"/>
        <v>784.77760000000001</v>
      </c>
      <c r="R25" s="71">
        <f t="shared" si="9"/>
        <v>31745.024399999995</v>
      </c>
      <c r="S25" s="71">
        <f t="shared" si="10"/>
        <v>21670.664399999998</v>
      </c>
      <c r="T25" s="71">
        <f t="shared" si="11"/>
        <v>9417.3312000000005</v>
      </c>
      <c r="U25" s="71"/>
      <c r="V25" s="100"/>
      <c r="W25" s="100"/>
      <c r="X25" s="100"/>
      <c r="Y25" s="99"/>
      <c r="Z25" s="99"/>
      <c r="AA25" s="53"/>
    </row>
    <row r="26" spans="1:27" x14ac:dyDescent="0.2">
      <c r="A26" t="s">
        <v>17</v>
      </c>
      <c r="B26" s="14">
        <v>4608.8972999999996</v>
      </c>
      <c r="C26" s="14">
        <f>+B26-D26</f>
        <v>3240.1920999999998</v>
      </c>
      <c r="D26" s="14">
        <v>1368.7051999999999</v>
      </c>
      <c r="E26" s="14">
        <f>D26+50</f>
        <v>1418.7051999999999</v>
      </c>
      <c r="F26" s="12">
        <f>D26+100</f>
        <v>1468.7051999999999</v>
      </c>
      <c r="G26" s="14"/>
      <c r="H26" s="97">
        <f t="shared" si="7"/>
        <v>55306.767599999992</v>
      </c>
      <c r="I26" s="97">
        <f t="shared" si="7"/>
        <v>38882.305199999995</v>
      </c>
      <c r="J26" s="97">
        <f t="shared" si="7"/>
        <v>16424.462399999997</v>
      </c>
      <c r="K26" s="97"/>
      <c r="L26" s="14">
        <v>3970.89</v>
      </c>
      <c r="M26" s="14">
        <v>2642.05</v>
      </c>
      <c r="N26" s="14">
        <v>1328.84</v>
      </c>
      <c r="O26" s="105">
        <v>4608.8972999999996</v>
      </c>
      <c r="P26" s="71">
        <f>+M26*1.21</f>
        <v>3196.8805000000002</v>
      </c>
      <c r="Q26" s="71">
        <f t="shared" si="8"/>
        <v>1368.7051999999999</v>
      </c>
      <c r="R26" s="71">
        <f t="shared" si="9"/>
        <v>55306.767599999992</v>
      </c>
      <c r="S26" s="71">
        <f t="shared" si="10"/>
        <v>38362.566000000006</v>
      </c>
      <c r="T26" s="71">
        <f t="shared" si="11"/>
        <v>16424.462399999997</v>
      </c>
      <c r="U26" s="71"/>
      <c r="V26" s="100"/>
      <c r="W26" s="100"/>
      <c r="X26" s="100"/>
      <c r="Y26" s="99"/>
      <c r="Z26" s="99"/>
      <c r="AA26" s="53"/>
    </row>
    <row r="27" spans="1:27" x14ac:dyDescent="0.2">
      <c r="B27" s="14"/>
      <c r="C27" s="14"/>
      <c r="D27" s="14"/>
      <c r="E27" s="14"/>
      <c r="F27" s="12"/>
      <c r="G27" s="14"/>
      <c r="H27" s="97">
        <f>+H24-H23</f>
        <v>24449.210400000004</v>
      </c>
      <c r="I27" s="97">
        <f>+I24-I23</f>
        <v>18028.561200000004</v>
      </c>
      <c r="J27" s="97">
        <f>+J24-J23</f>
        <v>6420.6492000000007</v>
      </c>
      <c r="K27" s="97"/>
      <c r="L27" s="14"/>
      <c r="M27" s="14"/>
      <c r="N27" s="14"/>
      <c r="O27" s="105"/>
      <c r="P27" s="71"/>
      <c r="Q27" s="71"/>
      <c r="R27" s="71"/>
      <c r="S27" s="71"/>
      <c r="T27" s="71"/>
      <c r="U27" s="71"/>
      <c r="V27" s="36"/>
      <c r="W27" s="36"/>
      <c r="X27" s="36"/>
      <c r="Y27" s="36"/>
      <c r="Z27" s="36"/>
      <c r="AA27" s="36"/>
    </row>
    <row r="28" spans="1:27" x14ac:dyDescent="0.2">
      <c r="B28" s="14"/>
      <c r="C28" s="14"/>
      <c r="D28" s="14"/>
      <c r="E28" s="14"/>
      <c r="F28" s="12"/>
      <c r="G28" s="14"/>
      <c r="H28" s="97"/>
      <c r="I28" s="97"/>
      <c r="J28" s="97"/>
      <c r="K28" s="97"/>
      <c r="L28" s="14"/>
      <c r="M28" s="14"/>
      <c r="N28" s="14"/>
      <c r="O28" s="105"/>
      <c r="P28" s="71"/>
      <c r="Q28" s="71"/>
      <c r="R28" s="71"/>
      <c r="S28" s="71"/>
      <c r="T28" s="71"/>
      <c r="U28" s="71"/>
      <c r="V28" s="36"/>
      <c r="W28" s="36"/>
      <c r="X28" s="36"/>
      <c r="Y28" s="36"/>
      <c r="Z28" s="36"/>
      <c r="AA28" s="36"/>
    </row>
    <row r="29" spans="1:27" x14ac:dyDescent="0.2">
      <c r="A29" s="2" t="s">
        <v>6</v>
      </c>
      <c r="B29" s="14"/>
      <c r="C29" s="14"/>
      <c r="D29" s="14"/>
      <c r="E29" s="14"/>
      <c r="F29" s="12"/>
      <c r="G29" s="14"/>
      <c r="H29" s="97"/>
      <c r="I29" s="97"/>
      <c r="J29" s="97"/>
      <c r="K29" s="97"/>
      <c r="L29" s="14"/>
      <c r="M29" s="14"/>
      <c r="N29" s="14"/>
      <c r="O29" s="105"/>
      <c r="P29" s="71"/>
      <c r="Q29" s="71"/>
      <c r="R29" s="71"/>
      <c r="S29" s="71"/>
      <c r="T29" s="71"/>
      <c r="U29" s="71"/>
      <c r="V29" s="36"/>
      <c r="W29" s="36"/>
      <c r="X29" s="36"/>
      <c r="Y29" s="36"/>
      <c r="Z29" s="36"/>
      <c r="AA29" s="36"/>
    </row>
    <row r="30" spans="1:27" x14ac:dyDescent="0.2">
      <c r="A30" s="2" t="s">
        <v>10</v>
      </c>
      <c r="B30" s="14"/>
      <c r="C30" s="14"/>
      <c r="D30" s="14"/>
      <c r="E30" s="14"/>
      <c r="F30" s="12"/>
      <c r="G30" s="14"/>
      <c r="H30" s="97"/>
      <c r="I30" s="97"/>
      <c r="J30" s="97"/>
      <c r="K30" s="97"/>
      <c r="L30" s="14"/>
      <c r="M30" s="14"/>
      <c r="N30" s="14"/>
      <c r="O30" s="105"/>
      <c r="P30" s="71"/>
      <c r="Q30" s="71"/>
      <c r="R30" s="71"/>
      <c r="S30" s="71"/>
      <c r="T30" s="71"/>
      <c r="U30" s="71"/>
      <c r="V30" s="36"/>
      <c r="W30" s="36"/>
      <c r="X30" s="36"/>
      <c r="Y30" s="36"/>
      <c r="Z30" s="36"/>
      <c r="AA30" s="36"/>
    </row>
    <row r="31" spans="1:27" x14ac:dyDescent="0.2">
      <c r="B31" s="14"/>
      <c r="C31" s="14"/>
      <c r="D31" s="14"/>
      <c r="E31" s="14"/>
      <c r="F31" s="12"/>
      <c r="G31" s="14"/>
      <c r="H31" s="97"/>
      <c r="I31" s="97"/>
      <c r="J31" s="97"/>
      <c r="K31" s="97"/>
      <c r="L31" s="14"/>
      <c r="M31" s="14"/>
      <c r="N31" s="14"/>
      <c r="O31" s="105"/>
      <c r="P31" s="139"/>
      <c r="Q31" s="135"/>
      <c r="R31" s="135"/>
      <c r="S31" s="135"/>
      <c r="T31" s="135"/>
      <c r="U31" s="135"/>
      <c r="V31" s="154"/>
      <c r="W31" s="155"/>
      <c r="X31" s="155"/>
      <c r="Y31" s="155"/>
      <c r="Z31" s="155"/>
      <c r="AA31" s="155"/>
    </row>
    <row r="32" spans="1:27" x14ac:dyDescent="0.2">
      <c r="A32" s="10" t="s">
        <v>33</v>
      </c>
      <c r="B32" s="14"/>
      <c r="C32" s="14"/>
      <c r="D32" s="14"/>
      <c r="E32" s="14"/>
      <c r="F32" s="12"/>
      <c r="G32" s="14"/>
      <c r="H32" s="97"/>
      <c r="I32" s="97"/>
      <c r="J32" s="97"/>
      <c r="K32" s="97"/>
      <c r="L32" s="14"/>
      <c r="M32" s="14"/>
      <c r="N32" s="14"/>
      <c r="O32" s="105"/>
      <c r="P32" s="136"/>
      <c r="Q32" s="136"/>
      <c r="R32" s="136"/>
      <c r="S32" s="71"/>
      <c r="T32" s="71"/>
      <c r="U32" s="136"/>
      <c r="V32" s="111"/>
      <c r="W32" s="111"/>
      <c r="X32" s="111"/>
      <c r="Y32" s="36"/>
      <c r="Z32" s="36"/>
      <c r="AA32" s="87"/>
    </row>
    <row r="33" spans="1:27" x14ac:dyDescent="0.2">
      <c r="A33" t="s">
        <v>14</v>
      </c>
      <c r="B33" s="14">
        <v>1556.598</v>
      </c>
      <c r="C33" s="14">
        <f>+B33-D33</f>
        <v>769.62649999999996</v>
      </c>
      <c r="D33" s="14">
        <v>786.97149999999999</v>
      </c>
      <c r="E33" s="14">
        <f>D33+50</f>
        <v>836.97149999999999</v>
      </c>
      <c r="F33" s="12">
        <f>D33+100</f>
        <v>886.97149999999999</v>
      </c>
      <c r="G33" s="14"/>
      <c r="H33" s="97">
        <f t="shared" ref="H33:J36" si="12">+B33*12</f>
        <v>18679.175999999999</v>
      </c>
      <c r="I33" s="97">
        <f t="shared" si="12"/>
        <v>9235.518</v>
      </c>
      <c r="J33" s="97">
        <f t="shared" si="12"/>
        <v>9443.6579999999994</v>
      </c>
      <c r="K33" s="97"/>
      <c r="L33" s="14">
        <v>1303.8</v>
      </c>
      <c r="M33" s="14">
        <f>+L33-N33</f>
        <v>539.75</v>
      </c>
      <c r="N33" s="14">
        <v>764.05</v>
      </c>
      <c r="O33" s="105">
        <v>1556.598</v>
      </c>
      <c r="P33" s="71">
        <f>+M33*1.21</f>
        <v>653.09749999999997</v>
      </c>
      <c r="Q33" s="71">
        <f t="shared" ref="Q33:Q36" si="13">+N33*1.03</f>
        <v>786.97149999999999</v>
      </c>
      <c r="R33" s="71">
        <f t="shared" ref="R33:R36" si="14">+O33*12</f>
        <v>18679.175999999999</v>
      </c>
      <c r="S33" s="71">
        <f t="shared" ref="S33:S36" si="15">+P33*12</f>
        <v>7837.17</v>
      </c>
      <c r="T33" s="71">
        <f t="shared" ref="T33:T36" si="16">+Q33*12</f>
        <v>9443.6579999999994</v>
      </c>
      <c r="U33" s="71"/>
      <c r="V33" s="53"/>
      <c r="W33" s="53"/>
      <c r="X33" s="53"/>
      <c r="Y33" s="99"/>
      <c r="Z33" s="99"/>
      <c r="AA33" s="53"/>
    </row>
    <row r="34" spans="1:27" x14ac:dyDescent="0.2">
      <c r="A34" t="s">
        <v>15</v>
      </c>
      <c r="B34" s="14">
        <v>3594.0322000000001</v>
      </c>
      <c r="C34" s="14">
        <f>+B34-D34</f>
        <v>2448.4867999999997</v>
      </c>
      <c r="D34" s="14">
        <v>1145.5454000000002</v>
      </c>
      <c r="E34" s="14">
        <f>D34+50</f>
        <v>1195.5454000000002</v>
      </c>
      <c r="F34" s="12">
        <f>D34+100</f>
        <v>1245.5454000000002</v>
      </c>
      <c r="G34" s="14"/>
      <c r="H34" s="97">
        <f t="shared" si="12"/>
        <v>43128.386400000003</v>
      </c>
      <c r="I34" s="97">
        <f t="shared" si="12"/>
        <v>29381.841599999996</v>
      </c>
      <c r="J34" s="97">
        <f t="shared" si="12"/>
        <v>13746.544800000003</v>
      </c>
      <c r="K34" s="97"/>
      <c r="L34" s="14">
        <v>3083.38</v>
      </c>
      <c r="M34" s="14">
        <f>+L34-N34</f>
        <v>1971.2</v>
      </c>
      <c r="N34" s="14">
        <v>1112.18</v>
      </c>
      <c r="O34" s="105">
        <v>3594.0322000000001</v>
      </c>
      <c r="P34" s="71">
        <f>+M34*1.21</f>
        <v>2385.152</v>
      </c>
      <c r="Q34" s="71">
        <f t="shared" si="13"/>
        <v>1145.5454000000002</v>
      </c>
      <c r="R34" s="71">
        <f t="shared" si="14"/>
        <v>43128.386400000003</v>
      </c>
      <c r="S34" s="71">
        <f t="shared" si="15"/>
        <v>28621.824000000001</v>
      </c>
      <c r="T34" s="71">
        <f t="shared" si="16"/>
        <v>13746.544800000003</v>
      </c>
      <c r="U34" s="71"/>
      <c r="V34" s="53"/>
      <c r="W34" s="53"/>
      <c r="X34" s="53"/>
      <c r="Y34" s="99"/>
      <c r="Z34" s="99"/>
      <c r="AA34" s="53"/>
    </row>
    <row r="35" spans="1:27" x14ac:dyDescent="0.2">
      <c r="A35" t="s">
        <v>16</v>
      </c>
      <c r="B35" s="14">
        <v>2645.4186999999997</v>
      </c>
      <c r="C35" s="14">
        <f>+B35-D35</f>
        <v>1566.2670999999996</v>
      </c>
      <c r="D35" s="14">
        <v>1079.1516000000001</v>
      </c>
      <c r="E35" s="14">
        <f>D35+50</f>
        <v>1129.1516000000001</v>
      </c>
      <c r="F35" s="12">
        <f>D35+100</f>
        <v>1179.1516000000001</v>
      </c>
      <c r="G35" s="14"/>
      <c r="H35" s="97">
        <f t="shared" si="12"/>
        <v>31745.024399999995</v>
      </c>
      <c r="I35" s="97">
        <f t="shared" si="12"/>
        <v>18795.205199999997</v>
      </c>
      <c r="J35" s="97">
        <f t="shared" si="12"/>
        <v>12949.819200000002</v>
      </c>
      <c r="K35" s="97"/>
      <c r="L35" s="14">
        <v>2254.39</v>
      </c>
      <c r="M35" s="14">
        <f>+L35-N35</f>
        <v>1206.6699999999998</v>
      </c>
      <c r="N35" s="14">
        <v>1047.72</v>
      </c>
      <c r="O35" s="105">
        <v>2645.4186999999997</v>
      </c>
      <c r="P35" s="71">
        <f>+M35*1.21</f>
        <v>1460.0706999999998</v>
      </c>
      <c r="Q35" s="71">
        <f t="shared" si="13"/>
        <v>1079.1516000000001</v>
      </c>
      <c r="R35" s="71">
        <f t="shared" si="14"/>
        <v>31745.024399999995</v>
      </c>
      <c r="S35" s="71">
        <f t="shared" si="15"/>
        <v>17520.848399999995</v>
      </c>
      <c r="T35" s="71">
        <f t="shared" si="16"/>
        <v>12949.819200000002</v>
      </c>
      <c r="U35" s="71"/>
      <c r="V35" s="53"/>
      <c r="W35" s="53"/>
      <c r="X35" s="53"/>
      <c r="Y35" s="99"/>
      <c r="Z35" s="99"/>
      <c r="AA35" s="53"/>
    </row>
    <row r="36" spans="1:27" x14ac:dyDescent="0.2">
      <c r="A36" t="s">
        <v>17</v>
      </c>
      <c r="B36" s="14">
        <v>4608.8972999999996</v>
      </c>
      <c r="C36" s="14">
        <f>+B36-D36</f>
        <v>3115.7062999999998</v>
      </c>
      <c r="D36" s="14">
        <v>1493.191</v>
      </c>
      <c r="E36" s="14">
        <f>D36+50</f>
        <v>1543.191</v>
      </c>
      <c r="F36" s="12">
        <f>D36+100</f>
        <v>1593.191</v>
      </c>
      <c r="G36" s="14"/>
      <c r="H36" s="97">
        <f t="shared" si="12"/>
        <v>55306.767599999992</v>
      </c>
      <c r="I36" s="97">
        <f t="shared" si="12"/>
        <v>37388.475599999998</v>
      </c>
      <c r="J36" s="97">
        <f t="shared" si="12"/>
        <v>17918.292000000001</v>
      </c>
      <c r="K36" s="97"/>
      <c r="L36" s="14">
        <v>3970.89</v>
      </c>
      <c r="M36" s="14">
        <f>+L36-N36</f>
        <v>2521.1899999999996</v>
      </c>
      <c r="N36" s="14">
        <v>1449.7</v>
      </c>
      <c r="O36" s="105">
        <v>4608.8972999999996</v>
      </c>
      <c r="P36" s="71">
        <f>+M36*1.21</f>
        <v>3050.6398999999992</v>
      </c>
      <c r="Q36" s="71">
        <f t="shared" si="13"/>
        <v>1493.191</v>
      </c>
      <c r="R36" s="71">
        <f t="shared" si="14"/>
        <v>55306.767599999992</v>
      </c>
      <c r="S36" s="71">
        <f t="shared" si="15"/>
        <v>36607.678799999994</v>
      </c>
      <c r="T36" s="71">
        <f t="shared" si="16"/>
        <v>17918.292000000001</v>
      </c>
      <c r="U36" s="71"/>
      <c r="V36" s="53"/>
      <c r="W36" s="53"/>
      <c r="X36" s="53"/>
      <c r="Y36" s="99"/>
      <c r="Z36" s="99"/>
      <c r="AA36" s="53"/>
    </row>
    <row r="37" spans="1:27" x14ac:dyDescent="0.2">
      <c r="B37" s="14"/>
      <c r="C37" s="14"/>
      <c r="D37" s="14"/>
      <c r="E37" s="14"/>
      <c r="F37" s="12"/>
      <c r="G37" s="14"/>
      <c r="H37" s="97">
        <f>+H36-H33</f>
        <v>36627.591599999992</v>
      </c>
      <c r="I37" s="97">
        <f>+I36-I33</f>
        <v>28152.957599999998</v>
      </c>
      <c r="J37" s="97">
        <f>+J36-J33</f>
        <v>8474.6340000000018</v>
      </c>
      <c r="K37" s="97"/>
      <c r="L37" s="14"/>
      <c r="M37" s="14"/>
      <c r="N37" s="14"/>
      <c r="O37" s="105"/>
      <c r="P37" s="71"/>
      <c r="Q37" s="71"/>
      <c r="R37" s="71"/>
      <c r="S37" s="71"/>
      <c r="T37" s="71"/>
      <c r="U37" s="71"/>
      <c r="V37" s="36"/>
      <c r="W37" s="36"/>
      <c r="X37" s="36"/>
      <c r="Y37" s="36"/>
      <c r="Z37" s="36"/>
      <c r="AA37" s="36"/>
    </row>
    <row r="38" spans="1:27" x14ac:dyDescent="0.2">
      <c r="A38" s="2" t="s">
        <v>29</v>
      </c>
      <c r="B38" s="14"/>
      <c r="C38" s="14"/>
      <c r="D38" s="14"/>
      <c r="E38" s="14"/>
      <c r="F38" s="12"/>
      <c r="G38" s="14"/>
      <c r="H38" s="97"/>
      <c r="I38" s="97"/>
      <c r="J38" s="97"/>
      <c r="K38" s="97"/>
      <c r="L38" s="14"/>
      <c r="M38" s="14"/>
      <c r="N38" s="14"/>
      <c r="O38" s="105"/>
      <c r="P38" s="134"/>
      <c r="Q38" s="134"/>
      <c r="R38" s="134"/>
      <c r="S38" s="134"/>
      <c r="T38" s="134"/>
      <c r="U38" s="134"/>
    </row>
    <row r="39" spans="1:27" x14ac:dyDescent="0.2">
      <c r="B39" s="14"/>
      <c r="C39" s="14"/>
      <c r="D39" s="14"/>
      <c r="E39" s="14"/>
      <c r="F39" s="12"/>
      <c r="G39" s="14"/>
      <c r="H39" s="97"/>
      <c r="I39" s="97"/>
      <c r="J39" s="97"/>
      <c r="K39" s="97"/>
      <c r="L39" s="14"/>
      <c r="M39" s="14"/>
      <c r="N39" s="14"/>
      <c r="O39" s="105"/>
      <c r="P39" s="134"/>
      <c r="Q39" s="134"/>
      <c r="R39" s="134"/>
      <c r="S39" s="134"/>
      <c r="T39" s="134"/>
      <c r="U39" s="134"/>
    </row>
    <row r="40" spans="1:27" x14ac:dyDescent="0.2">
      <c r="A40" s="123" t="s">
        <v>33</v>
      </c>
      <c r="B40" s="124"/>
      <c r="C40" s="124"/>
      <c r="D40" s="124"/>
      <c r="E40" s="124"/>
      <c r="F40" s="125"/>
      <c r="G40" s="124"/>
      <c r="H40" s="129"/>
      <c r="I40" s="129"/>
      <c r="J40" s="129"/>
      <c r="K40" s="97"/>
      <c r="L40" s="14"/>
      <c r="M40" s="14"/>
      <c r="N40" s="14"/>
      <c r="O40" s="105"/>
      <c r="P40" s="134"/>
      <c r="Q40" s="134"/>
      <c r="R40" s="134"/>
      <c r="S40" s="134"/>
      <c r="T40" s="134"/>
      <c r="U40" s="134"/>
    </row>
    <row r="41" spans="1:27" x14ac:dyDescent="0.2">
      <c r="A41" s="127" t="s">
        <v>14</v>
      </c>
      <c r="B41" s="124">
        <v>1556.598</v>
      </c>
      <c r="C41" s="124">
        <v>0</v>
      </c>
      <c r="D41" s="124">
        <f>B41</f>
        <v>1556.598</v>
      </c>
      <c r="E41" s="124">
        <f>D41+50</f>
        <v>1606.598</v>
      </c>
      <c r="F41" s="125">
        <f>D41+100</f>
        <v>1656.598</v>
      </c>
      <c r="G41" s="124"/>
      <c r="H41" s="129">
        <f t="shared" ref="H41:J44" si="17">+B41*12</f>
        <v>18679.175999999999</v>
      </c>
      <c r="I41" s="129">
        <f t="shared" si="17"/>
        <v>0</v>
      </c>
      <c r="J41" s="129">
        <f t="shared" si="17"/>
        <v>18679.175999999999</v>
      </c>
      <c r="K41" s="97"/>
      <c r="L41" s="124">
        <v>1246.47</v>
      </c>
      <c r="M41" s="124">
        <v>0</v>
      </c>
      <c r="N41" s="124">
        <v>1246.47</v>
      </c>
      <c r="O41" s="105">
        <v>1556.598</v>
      </c>
      <c r="P41" s="71">
        <f t="shared" ref="P41:P44" si="18">+M41*1.05</f>
        <v>0</v>
      </c>
      <c r="Q41" s="134"/>
      <c r="R41" s="71">
        <f t="shared" ref="R41:R44" si="19">+O41*12</f>
        <v>18679.175999999999</v>
      </c>
      <c r="S41" s="71">
        <f t="shared" ref="S41:S44" si="20">+P41*12</f>
        <v>0</v>
      </c>
      <c r="T41" s="71">
        <f t="shared" ref="T41:T44" si="21">+Q41*12</f>
        <v>0</v>
      </c>
      <c r="U41" s="134"/>
    </row>
    <row r="42" spans="1:27" x14ac:dyDescent="0.2">
      <c r="A42" s="127" t="s">
        <v>15</v>
      </c>
      <c r="B42" s="124">
        <v>3594.0322000000001</v>
      </c>
      <c r="C42" s="124">
        <v>0</v>
      </c>
      <c r="D42" s="124">
        <f t="shared" ref="D42:D44" si="22">B42</f>
        <v>3594.0322000000001</v>
      </c>
      <c r="E42" s="124">
        <f>D42+50</f>
        <v>3644.0322000000001</v>
      </c>
      <c r="F42" s="125">
        <f>D42+100</f>
        <v>3694.0322000000001</v>
      </c>
      <c r="G42" s="124"/>
      <c r="H42" s="129">
        <f t="shared" si="17"/>
        <v>43128.386400000003</v>
      </c>
      <c r="I42" s="129">
        <f t="shared" si="17"/>
        <v>0</v>
      </c>
      <c r="J42" s="129">
        <f t="shared" si="17"/>
        <v>43128.386400000003</v>
      </c>
      <c r="K42" s="97"/>
      <c r="L42" s="124">
        <v>2950.61</v>
      </c>
      <c r="M42" s="124">
        <v>0</v>
      </c>
      <c r="N42" s="124">
        <v>2950.61</v>
      </c>
      <c r="O42" s="105">
        <v>3594.0322000000001</v>
      </c>
      <c r="P42" s="71">
        <f t="shared" si="18"/>
        <v>0</v>
      </c>
      <c r="Q42" s="134"/>
      <c r="R42" s="71">
        <f t="shared" si="19"/>
        <v>43128.386400000003</v>
      </c>
      <c r="S42" s="71">
        <f t="shared" si="20"/>
        <v>0</v>
      </c>
      <c r="T42" s="71">
        <f t="shared" si="21"/>
        <v>0</v>
      </c>
      <c r="U42" s="134"/>
    </row>
    <row r="43" spans="1:27" x14ac:dyDescent="0.2">
      <c r="A43" s="127" t="s">
        <v>16</v>
      </c>
      <c r="B43" s="124">
        <v>2645.4186999999997</v>
      </c>
      <c r="C43" s="124">
        <v>0</v>
      </c>
      <c r="D43" s="124">
        <f t="shared" si="22"/>
        <v>2645.4186999999997</v>
      </c>
      <c r="E43" s="124">
        <f>D43+50</f>
        <v>2695.4186999999997</v>
      </c>
      <c r="F43" s="125">
        <f>D43+100</f>
        <v>2745.4186999999997</v>
      </c>
      <c r="G43" s="124"/>
      <c r="H43" s="129">
        <f t="shared" si="17"/>
        <v>31745.024399999995</v>
      </c>
      <c r="I43" s="129">
        <f t="shared" si="17"/>
        <v>0</v>
      </c>
      <c r="J43" s="129">
        <f t="shared" si="17"/>
        <v>31745.024399999995</v>
      </c>
      <c r="K43" s="97"/>
      <c r="L43" s="124">
        <v>2155.5</v>
      </c>
      <c r="M43" s="124">
        <v>0</v>
      </c>
      <c r="N43" s="124">
        <v>2155.5</v>
      </c>
      <c r="O43" s="105">
        <v>2645.4186999999997</v>
      </c>
      <c r="P43" s="71">
        <f t="shared" si="18"/>
        <v>0</v>
      </c>
      <c r="Q43" s="134"/>
      <c r="R43" s="71">
        <f t="shared" si="19"/>
        <v>31745.024399999995</v>
      </c>
      <c r="S43" s="71">
        <f t="shared" si="20"/>
        <v>0</v>
      </c>
      <c r="T43" s="71">
        <f t="shared" si="21"/>
        <v>0</v>
      </c>
      <c r="U43" s="134"/>
    </row>
    <row r="44" spans="1:27" x14ac:dyDescent="0.2">
      <c r="A44" s="127" t="s">
        <v>17</v>
      </c>
      <c r="B44" s="124">
        <v>4608.8972999999996</v>
      </c>
      <c r="C44" s="124">
        <v>0</v>
      </c>
      <c r="D44" s="124">
        <f t="shared" si="22"/>
        <v>4608.8972999999996</v>
      </c>
      <c r="E44" s="124">
        <f>D44+50</f>
        <v>4658.8972999999996</v>
      </c>
      <c r="F44" s="125">
        <f>D44+100</f>
        <v>4708.8972999999996</v>
      </c>
      <c r="G44" s="124"/>
      <c r="H44" s="129">
        <f t="shared" si="17"/>
        <v>55306.767599999992</v>
      </c>
      <c r="I44" s="129">
        <f t="shared" si="17"/>
        <v>0</v>
      </c>
      <c r="J44" s="129">
        <f t="shared" si="17"/>
        <v>55306.767599999992</v>
      </c>
      <c r="K44" s="97"/>
      <c r="L44" s="124">
        <v>3851.92</v>
      </c>
      <c r="M44" s="124">
        <v>0</v>
      </c>
      <c r="N44" s="124">
        <v>3851.92</v>
      </c>
      <c r="O44" s="105">
        <v>4608.8972999999996</v>
      </c>
      <c r="P44" s="71">
        <f t="shared" si="18"/>
        <v>0</v>
      </c>
      <c r="Q44" s="134"/>
      <c r="R44" s="71">
        <f t="shared" si="19"/>
        <v>55306.767599999992</v>
      </c>
      <c r="S44" s="71">
        <f t="shared" si="20"/>
        <v>0</v>
      </c>
      <c r="T44" s="71">
        <f t="shared" si="21"/>
        <v>0</v>
      </c>
      <c r="U44" s="134"/>
    </row>
    <row r="45" spans="1:27" s="140" customFormat="1" x14ac:dyDescent="0.2">
      <c r="B45" s="17"/>
      <c r="C45" s="17"/>
      <c r="D45" s="17"/>
      <c r="E45" s="17"/>
      <c r="F45" s="141"/>
      <c r="G45" s="17"/>
      <c r="H45" s="142">
        <f>H44-H41</f>
        <v>36627.591599999992</v>
      </c>
      <c r="I45" s="142"/>
      <c r="J45" s="142">
        <f>+J43-J41</f>
        <v>13065.848399999995</v>
      </c>
      <c r="K45" s="142"/>
      <c r="L45" s="17"/>
      <c r="M45" s="17"/>
      <c r="N45" s="17"/>
      <c r="O45" s="143"/>
      <c r="P45" s="144"/>
      <c r="Q45" s="144"/>
      <c r="R45" s="144"/>
      <c r="S45" s="144"/>
      <c r="T45" s="144"/>
      <c r="U45" s="144"/>
    </row>
    <row r="46" spans="1:27" x14ac:dyDescent="0.2">
      <c r="A46" s="2" t="s">
        <v>20</v>
      </c>
      <c r="B46" s="14"/>
      <c r="C46" s="14"/>
      <c r="D46" s="14"/>
      <c r="E46" s="14"/>
      <c r="F46" s="12"/>
      <c r="G46" s="14"/>
      <c r="H46" s="97"/>
      <c r="I46" s="97"/>
      <c r="J46" s="97">
        <f>+J42-J41</f>
        <v>24449.210400000004</v>
      </c>
      <c r="K46" s="97"/>
      <c r="L46" s="14"/>
      <c r="M46" s="14"/>
      <c r="N46" s="14"/>
      <c r="O46" s="105"/>
      <c r="P46" s="134"/>
      <c r="Q46" s="134"/>
      <c r="R46" s="134"/>
      <c r="S46" s="134"/>
      <c r="T46" s="134"/>
      <c r="U46" s="134"/>
    </row>
    <row r="47" spans="1:27" x14ac:dyDescent="0.2">
      <c r="B47" s="14"/>
      <c r="C47" s="14"/>
      <c r="D47" s="14"/>
      <c r="E47" s="14"/>
      <c r="F47" s="12"/>
      <c r="G47" s="14"/>
      <c r="H47" s="97"/>
      <c r="I47" s="97"/>
      <c r="J47" s="97">
        <f>+J44-J41</f>
        <v>36627.591599999992</v>
      </c>
      <c r="K47" s="97"/>
      <c r="L47" s="14"/>
      <c r="M47" s="14"/>
      <c r="N47" s="14"/>
      <c r="O47" s="105"/>
      <c r="P47" s="134"/>
      <c r="Q47" s="134"/>
      <c r="R47" s="134"/>
      <c r="S47" s="134"/>
      <c r="T47" s="134"/>
      <c r="U47" s="134"/>
    </row>
    <row r="48" spans="1:27" x14ac:dyDescent="0.2">
      <c r="A48" s="10" t="s">
        <v>33</v>
      </c>
      <c r="B48" s="14"/>
      <c r="C48" s="14"/>
      <c r="D48" s="14"/>
      <c r="E48" s="14"/>
      <c r="F48" s="12"/>
      <c r="G48" s="14"/>
      <c r="H48" s="97"/>
      <c r="I48" s="97"/>
      <c r="J48" s="97"/>
      <c r="K48" s="97"/>
      <c r="L48" s="14"/>
      <c r="M48" s="14"/>
      <c r="N48" s="14"/>
      <c r="O48" s="105"/>
      <c r="P48" s="134"/>
      <c r="Q48" s="134"/>
      <c r="R48" s="134"/>
      <c r="S48" s="134"/>
      <c r="T48" s="134"/>
      <c r="U48" s="134"/>
    </row>
    <row r="49" spans="1:22" x14ac:dyDescent="0.2">
      <c r="A49" t="s">
        <v>11</v>
      </c>
      <c r="B49" s="17">
        <v>2037.4342000000001</v>
      </c>
      <c r="C49" s="14">
        <f>+B49-D49</f>
        <v>1354.3045999999999</v>
      </c>
      <c r="D49" s="17">
        <f>+D14-D13</f>
        <v>683.1296000000001</v>
      </c>
      <c r="E49" s="14">
        <f>D49+50</f>
        <v>733.1296000000001</v>
      </c>
      <c r="F49" s="12">
        <f>D49+100</f>
        <v>783.1296000000001</v>
      </c>
      <c r="G49" s="14"/>
      <c r="H49" s="97">
        <f t="shared" ref="H49:J51" si="23">+B49*12</f>
        <v>24449.210400000004</v>
      </c>
      <c r="I49" s="97">
        <f t="shared" si="23"/>
        <v>16251.655199999999</v>
      </c>
      <c r="J49" s="97">
        <f t="shared" si="23"/>
        <v>8197.5552000000007</v>
      </c>
      <c r="K49" s="97"/>
      <c r="L49" s="17">
        <v>1704.1378749999999</v>
      </c>
      <c r="M49" s="14">
        <f>+L49-N49</f>
        <v>1046.8178749999997</v>
      </c>
      <c r="N49" s="17">
        <v>657.32</v>
      </c>
      <c r="O49" s="105">
        <f>+O14-O13</f>
        <v>2037.4342000000001</v>
      </c>
      <c r="P49" s="71">
        <f>+M49*1.21</f>
        <v>1266.6496287499997</v>
      </c>
      <c r="Q49" s="71">
        <f t="shared" ref="Q49:Q51" si="24">+N49*1.03</f>
        <v>677.03960000000006</v>
      </c>
      <c r="R49" s="134">
        <f>+Q49+P49</f>
        <v>1943.6892287499998</v>
      </c>
      <c r="S49" s="134"/>
      <c r="T49" s="134"/>
      <c r="U49" s="134"/>
    </row>
    <row r="50" spans="1:22" x14ac:dyDescent="0.2">
      <c r="A50" t="s">
        <v>12</v>
      </c>
      <c r="B50" s="17">
        <v>1088.8206999999998</v>
      </c>
      <c r="C50" s="14">
        <v>627.35</v>
      </c>
      <c r="D50" s="17">
        <f>+D15-D13</f>
        <v>371.47220000000004</v>
      </c>
      <c r="E50" s="14">
        <f>D50+50</f>
        <v>421.47220000000004</v>
      </c>
      <c r="F50" s="12">
        <f>D50+100</f>
        <v>471.47220000000004</v>
      </c>
      <c r="G50" s="14"/>
      <c r="H50" s="97">
        <f t="shared" si="23"/>
        <v>13065.848399999997</v>
      </c>
      <c r="I50" s="97">
        <v>8068.18</v>
      </c>
      <c r="J50" s="97">
        <v>4457.67</v>
      </c>
      <c r="K50" s="97"/>
      <c r="L50" s="17">
        <v>909.02702499999987</v>
      </c>
      <c r="M50" s="14">
        <v>592.85</v>
      </c>
      <c r="N50" s="17">
        <v>357.74</v>
      </c>
      <c r="O50" s="105">
        <f>+O15-O13</f>
        <v>1088.8206999999998</v>
      </c>
      <c r="P50" s="71">
        <f>+M50*1.21</f>
        <v>717.34850000000006</v>
      </c>
      <c r="Q50" s="71">
        <f t="shared" si="24"/>
        <v>368.47220000000004</v>
      </c>
      <c r="R50" s="134">
        <f>+P50+Q50</f>
        <v>1085.8207000000002</v>
      </c>
      <c r="S50" s="134"/>
      <c r="T50" s="134"/>
      <c r="U50" s="134"/>
    </row>
    <row r="51" spans="1:22" x14ac:dyDescent="0.2">
      <c r="A51" t="s">
        <v>13</v>
      </c>
      <c r="B51" s="17">
        <v>3052.2992999999997</v>
      </c>
      <c r="C51" s="14">
        <f>+B51-D51</f>
        <v>2031.4326999999996</v>
      </c>
      <c r="D51" s="17">
        <f>+D16-D13</f>
        <v>1020.8666000000001</v>
      </c>
      <c r="E51" s="14">
        <f>D51+50</f>
        <v>1070.8666000000001</v>
      </c>
      <c r="F51" s="12">
        <f>D51+100</f>
        <v>1120.8666000000001</v>
      </c>
      <c r="G51" s="14"/>
      <c r="H51" s="97">
        <f t="shared" si="23"/>
        <v>36627.5916</v>
      </c>
      <c r="I51" s="97">
        <f t="shared" si="23"/>
        <v>24377.192399999996</v>
      </c>
      <c r="J51" s="97">
        <f t="shared" si="23"/>
        <v>12250.3992</v>
      </c>
      <c r="K51" s="97"/>
      <c r="L51" s="17">
        <v>2605.4474</v>
      </c>
      <c r="M51" s="14">
        <f>+L51-N51</f>
        <v>1620.2274</v>
      </c>
      <c r="N51" s="17">
        <v>985.22</v>
      </c>
      <c r="O51" s="105">
        <f>+O16-O13</f>
        <v>3052.2992999999997</v>
      </c>
      <c r="P51" s="71">
        <f>+M51*1.21</f>
        <v>1960.475154</v>
      </c>
      <c r="Q51" s="71">
        <f t="shared" si="24"/>
        <v>1014.7766</v>
      </c>
      <c r="R51" s="134">
        <f>+Q51+P51</f>
        <v>2975.2517539999999</v>
      </c>
      <c r="S51" s="134"/>
      <c r="T51" s="134"/>
      <c r="U51" s="134"/>
    </row>
    <row r="52" spans="1:22" x14ac:dyDescent="0.2">
      <c r="C52" s="17"/>
      <c r="D52" s="17"/>
      <c r="F52" s="12"/>
      <c r="G52" s="12"/>
      <c r="M52" s="17"/>
      <c r="N52" s="17"/>
      <c r="O52" s="134"/>
      <c r="P52" s="134"/>
      <c r="Q52" s="134"/>
      <c r="R52" s="134"/>
      <c r="S52" s="134"/>
      <c r="T52" s="134"/>
      <c r="U52" s="134"/>
    </row>
    <row r="53" spans="1:22" x14ac:dyDescent="0.2">
      <c r="A53" s="2" t="s">
        <v>99</v>
      </c>
      <c r="O53" s="134"/>
      <c r="P53" s="134"/>
      <c r="Q53" s="134"/>
      <c r="R53" s="134"/>
      <c r="S53" s="134"/>
      <c r="T53" s="134"/>
      <c r="U53" s="134"/>
    </row>
    <row r="54" spans="1:22" x14ac:dyDescent="0.2">
      <c r="A54" s="10" t="s">
        <v>33</v>
      </c>
      <c r="O54" s="134"/>
      <c r="P54" s="134"/>
      <c r="Q54" s="134"/>
      <c r="R54" s="134"/>
      <c r="S54" s="134"/>
      <c r="T54" s="134"/>
      <c r="U54" s="134"/>
    </row>
    <row r="55" spans="1:22" x14ac:dyDescent="0.2">
      <c r="A55" t="s">
        <v>11</v>
      </c>
      <c r="B55" s="134">
        <v>2037.4342000000001</v>
      </c>
      <c r="C55" s="14">
        <f>+B55-D55</f>
        <v>1923.3742000000002</v>
      </c>
      <c r="D55" s="14">
        <v>114.06</v>
      </c>
      <c r="E55" s="14">
        <f>+D55+50</f>
        <v>164.06</v>
      </c>
      <c r="F55" s="14">
        <f>+D55+100</f>
        <v>214.06</v>
      </c>
      <c r="G55" s="14"/>
      <c r="H55" s="97">
        <f t="shared" ref="H55:H57" si="25">+B55*12</f>
        <v>24449.210400000004</v>
      </c>
      <c r="I55" s="97">
        <f t="shared" ref="I55:I57" si="26">+C55*12</f>
        <v>23080.490400000002</v>
      </c>
      <c r="J55" s="97">
        <f t="shared" ref="J55:J57" si="27">+D55*12</f>
        <v>1368.72</v>
      </c>
      <c r="K55" s="97"/>
      <c r="L55" s="85">
        <v>1704.14</v>
      </c>
      <c r="M55" s="14">
        <v>1596.63</v>
      </c>
      <c r="N55" s="14">
        <v>107.51</v>
      </c>
      <c r="O55" s="134">
        <v>2037.4342000000001</v>
      </c>
      <c r="P55" s="71">
        <f>+M55*1.21</f>
        <v>1931.9223000000002</v>
      </c>
      <c r="Q55" s="71">
        <v>114.06</v>
      </c>
      <c r="R55" s="134"/>
      <c r="S55" s="134"/>
      <c r="T55" s="134"/>
      <c r="U55" s="134"/>
    </row>
    <row r="56" spans="1:22" x14ac:dyDescent="0.2">
      <c r="A56" t="s">
        <v>12</v>
      </c>
      <c r="B56" s="134">
        <v>1088.8206999999998</v>
      </c>
      <c r="C56" s="14">
        <f>+B56-D56</f>
        <v>974.76069999999982</v>
      </c>
      <c r="D56" s="14">
        <v>114.06</v>
      </c>
      <c r="G56" s="14"/>
      <c r="H56" s="97">
        <f t="shared" si="25"/>
        <v>13065.848399999997</v>
      </c>
      <c r="I56" s="97">
        <f t="shared" si="26"/>
        <v>11697.128399999998</v>
      </c>
      <c r="J56" s="97">
        <f t="shared" si="27"/>
        <v>1368.72</v>
      </c>
      <c r="K56" s="97"/>
      <c r="L56" s="85">
        <v>1704.14</v>
      </c>
      <c r="M56" s="14">
        <v>1596.63</v>
      </c>
      <c r="N56" s="14">
        <v>107.51</v>
      </c>
      <c r="O56" s="134">
        <v>1088.8206999999998</v>
      </c>
      <c r="P56" s="71">
        <f>+M56*1.21</f>
        <v>1931.9223000000002</v>
      </c>
      <c r="Q56" s="71">
        <v>114.06</v>
      </c>
      <c r="R56" s="134"/>
      <c r="S56" s="134"/>
      <c r="T56" s="134"/>
      <c r="U56" s="134"/>
    </row>
    <row r="57" spans="1:22" x14ac:dyDescent="0.2">
      <c r="A57" t="s">
        <v>13</v>
      </c>
      <c r="B57" s="134">
        <v>3052.2992999999997</v>
      </c>
      <c r="C57" s="14">
        <f>+B57-D57</f>
        <v>2631.2292999999995</v>
      </c>
      <c r="D57" s="14">
        <v>421.07</v>
      </c>
      <c r="E57" s="14">
        <f>+D57+50</f>
        <v>471.07</v>
      </c>
      <c r="F57" s="14">
        <f>+D57+100</f>
        <v>521.06999999999994</v>
      </c>
      <c r="G57" s="14"/>
      <c r="H57" s="97">
        <f t="shared" si="25"/>
        <v>36627.5916</v>
      </c>
      <c r="I57" s="97">
        <f t="shared" si="26"/>
        <v>31574.751599999996</v>
      </c>
      <c r="J57" s="97">
        <f t="shared" si="27"/>
        <v>5052.84</v>
      </c>
      <c r="K57" s="97"/>
      <c r="L57" s="85">
        <v>2605.4499999999998</v>
      </c>
      <c r="M57" s="14">
        <v>2208.5499999999997</v>
      </c>
      <c r="N57" s="14">
        <v>396.9</v>
      </c>
      <c r="O57" s="134">
        <v>3052.2992999999997</v>
      </c>
      <c r="P57" s="71">
        <f>+M57*1.21</f>
        <v>2672.3454999999994</v>
      </c>
      <c r="Q57" s="71">
        <v>421.07</v>
      </c>
      <c r="R57" s="134"/>
      <c r="S57" s="134"/>
      <c r="T57" s="134"/>
      <c r="U57" s="134"/>
    </row>
    <row r="62" spans="1:22" ht="38.25" customHeight="1" x14ac:dyDescent="0.2">
      <c r="A62" s="152"/>
      <c r="B62" s="152"/>
      <c r="C62" s="152"/>
      <c r="D62" s="152"/>
      <c r="E62" s="152"/>
      <c r="F62" s="152"/>
    </row>
    <row r="63" spans="1:22" x14ac:dyDescent="0.2">
      <c r="A63" s="31"/>
      <c r="B63" s="16"/>
      <c r="C63" s="29"/>
      <c r="D63" s="29"/>
      <c r="E63" s="19"/>
      <c r="F63" s="20"/>
      <c r="G63" s="20"/>
      <c r="H63" s="108"/>
      <c r="I63" s="108"/>
      <c r="J63" s="108"/>
      <c r="K63" s="108"/>
      <c r="L63" s="23"/>
      <c r="M63" s="21"/>
      <c r="N63" s="21"/>
      <c r="O63" s="21"/>
      <c r="Q63" s="11"/>
      <c r="R63" s="11"/>
      <c r="S63" s="11"/>
      <c r="T63" s="11"/>
      <c r="U63" s="96"/>
      <c r="V63" s="11"/>
    </row>
    <row r="64" spans="1:22" ht="12.75" customHeight="1" x14ac:dyDescent="0.2">
      <c r="A64" s="88"/>
      <c r="B64" s="32"/>
      <c r="C64" s="28"/>
      <c r="D64" s="28"/>
      <c r="E64" s="12"/>
      <c r="F64" s="21"/>
      <c r="G64" s="21"/>
      <c r="H64" s="108"/>
      <c r="I64" s="108"/>
      <c r="J64" s="108"/>
      <c r="K64" s="108"/>
      <c r="L64" s="21"/>
      <c r="M64" s="21"/>
      <c r="N64" s="21"/>
      <c r="O64" s="21"/>
      <c r="Q64" s="11"/>
      <c r="R64" s="11"/>
      <c r="S64" s="11"/>
      <c r="T64" s="11"/>
      <c r="U64" s="96"/>
      <c r="V64" s="11"/>
    </row>
    <row r="65" spans="1:253" x14ac:dyDescent="0.2">
      <c r="A65" s="88"/>
      <c r="B65" s="4"/>
      <c r="C65" s="28"/>
      <c r="D65" s="28"/>
      <c r="E65" s="26"/>
      <c r="F65" s="21"/>
      <c r="G65" s="21"/>
      <c r="H65" s="108"/>
      <c r="I65" s="108"/>
      <c r="J65" s="108"/>
      <c r="K65" s="108"/>
      <c r="L65" s="21"/>
      <c r="M65" s="21"/>
      <c r="N65" s="21"/>
      <c r="O65" s="21"/>
      <c r="Q65" s="11"/>
      <c r="R65" s="11"/>
      <c r="S65" s="11"/>
      <c r="T65" s="11"/>
      <c r="U65" s="96"/>
      <c r="V65" s="11"/>
    </row>
    <row r="66" spans="1:253" x14ac:dyDescent="0.2">
      <c r="A66" s="88"/>
      <c r="B66" s="4"/>
      <c r="C66" s="28"/>
      <c r="D66" s="28"/>
      <c r="E66" s="21"/>
      <c r="F66" s="21"/>
      <c r="G66" s="21"/>
      <c r="H66" s="108"/>
      <c r="I66" s="108"/>
      <c r="J66" s="108"/>
      <c r="K66" s="108"/>
      <c r="L66" s="21"/>
      <c r="M66" s="21"/>
      <c r="N66" s="21"/>
      <c r="O66" s="21"/>
      <c r="Q66" s="11"/>
      <c r="R66" s="11"/>
      <c r="S66" s="11"/>
      <c r="T66" s="11"/>
      <c r="U66" s="96"/>
      <c r="V66" s="11"/>
    </row>
    <row r="67" spans="1:253" x14ac:dyDescent="0.2">
      <c r="A67" s="2"/>
      <c r="B67" s="2"/>
      <c r="C67" s="2"/>
      <c r="D67" s="2"/>
      <c r="E67" s="22"/>
      <c r="F67" s="22"/>
      <c r="G67" s="22"/>
      <c r="H67" s="109"/>
      <c r="I67" s="109"/>
      <c r="J67" s="109"/>
      <c r="K67" s="109"/>
      <c r="L67" s="22"/>
      <c r="M67" s="22"/>
      <c r="N67" s="22"/>
      <c r="O67" s="22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x14ac:dyDescent="0.2">
      <c r="A68" s="2"/>
      <c r="B68" s="2"/>
      <c r="C68" s="2"/>
      <c r="D68" s="2"/>
      <c r="E68" s="22"/>
      <c r="F68" s="22"/>
      <c r="G68" s="22"/>
      <c r="H68" s="109"/>
      <c r="I68" s="109"/>
      <c r="J68" s="109"/>
      <c r="K68" s="109"/>
      <c r="L68" s="22"/>
      <c r="M68" s="22"/>
      <c r="N68" s="22"/>
      <c r="O68" s="22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x14ac:dyDescent="0.2">
      <c r="A69" s="2"/>
      <c r="B69" s="2"/>
      <c r="C69" s="2"/>
      <c r="D69" s="2"/>
      <c r="E69" s="22"/>
      <c r="F69" s="22"/>
      <c r="G69" s="22"/>
      <c r="H69" s="109"/>
      <c r="I69" s="109"/>
      <c r="J69" s="109"/>
      <c r="K69" s="109"/>
      <c r="L69" s="22"/>
      <c r="M69" s="22"/>
      <c r="N69" s="22"/>
      <c r="O69" s="22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x14ac:dyDescent="0.2">
      <c r="E70" s="12"/>
      <c r="F70" s="12"/>
      <c r="G70" s="12"/>
      <c r="L70" s="12"/>
      <c r="M70" s="12"/>
      <c r="N70" s="12"/>
      <c r="O70" s="12"/>
      <c r="P70" s="12"/>
    </row>
    <row r="71" spans="1:253" x14ac:dyDescent="0.2">
      <c r="A71" s="5"/>
      <c r="E71" s="12"/>
      <c r="F71" s="12"/>
      <c r="G71" s="12"/>
      <c r="L71" s="12"/>
      <c r="M71" s="12"/>
      <c r="N71" s="12"/>
      <c r="O71" s="12"/>
      <c r="P71" s="12"/>
    </row>
    <row r="72" spans="1:253" x14ac:dyDescent="0.2">
      <c r="B72" s="14"/>
      <c r="C72" s="14"/>
      <c r="D72" s="14"/>
      <c r="E72" s="14"/>
      <c r="F72" s="14"/>
      <c r="G72" s="12"/>
      <c r="L72" s="12"/>
      <c r="M72" s="12"/>
      <c r="N72" s="12"/>
      <c r="O72" s="12"/>
      <c r="P72" s="12"/>
      <c r="Q72" s="7"/>
      <c r="R72" s="7"/>
      <c r="S72" s="7"/>
      <c r="T72" s="7"/>
      <c r="U72" s="7"/>
      <c r="V72" s="7"/>
      <c r="W72" s="7"/>
    </row>
    <row r="73" spans="1:253" x14ac:dyDescent="0.2">
      <c r="B73" s="14"/>
      <c r="C73" s="14"/>
      <c r="D73" s="14"/>
      <c r="E73" s="12"/>
      <c r="F73" s="12"/>
      <c r="G73" s="12"/>
      <c r="L73" s="12"/>
      <c r="M73" s="12"/>
      <c r="N73" s="12"/>
      <c r="O73" s="12"/>
      <c r="P73" s="12"/>
      <c r="Q73" s="7"/>
      <c r="R73" s="7"/>
      <c r="S73" s="7"/>
      <c r="T73" s="7"/>
      <c r="U73" s="7"/>
      <c r="V73" s="7"/>
      <c r="W73" s="7"/>
    </row>
    <row r="74" spans="1:253" x14ac:dyDescent="0.2">
      <c r="B74" s="14"/>
      <c r="C74" s="14"/>
      <c r="D74" s="14"/>
      <c r="E74" s="12"/>
      <c r="F74" s="12"/>
      <c r="G74" s="12"/>
      <c r="L74" s="12"/>
      <c r="M74" s="12"/>
      <c r="N74" s="12"/>
      <c r="O74" s="12"/>
      <c r="P74" s="12"/>
      <c r="Q74" s="7"/>
      <c r="R74" s="7"/>
      <c r="S74" s="7"/>
      <c r="T74" s="7"/>
      <c r="U74" s="7"/>
      <c r="V74" s="7"/>
      <c r="W74" s="7"/>
    </row>
    <row r="75" spans="1:253" x14ac:dyDescent="0.2">
      <c r="B75" s="14"/>
      <c r="C75" s="14"/>
      <c r="D75" s="14"/>
      <c r="E75" s="12"/>
      <c r="F75" s="12"/>
      <c r="G75" s="12"/>
      <c r="L75" s="12"/>
      <c r="M75" s="12"/>
      <c r="N75" s="12"/>
      <c r="O75" s="12"/>
      <c r="P75" s="12"/>
      <c r="Q75" s="7"/>
      <c r="R75" s="7"/>
      <c r="S75" s="7"/>
      <c r="T75" s="7"/>
      <c r="U75" s="7"/>
      <c r="V75" s="7"/>
      <c r="W75" s="7"/>
    </row>
    <row r="76" spans="1:253" x14ac:dyDescent="0.2">
      <c r="B76" s="14"/>
      <c r="C76" s="14"/>
      <c r="D76" s="14"/>
      <c r="E76" s="12"/>
      <c r="F76" s="12"/>
      <c r="G76" s="12"/>
      <c r="L76" s="12"/>
      <c r="M76" s="12"/>
      <c r="N76" s="12"/>
      <c r="O76" s="12"/>
      <c r="P76" s="12"/>
      <c r="Q76" s="7"/>
      <c r="R76" s="7"/>
      <c r="S76" s="7"/>
      <c r="T76" s="7"/>
      <c r="U76" s="7"/>
      <c r="V76" s="7"/>
      <c r="W76" s="7"/>
    </row>
    <row r="77" spans="1:253" x14ac:dyDescent="0.2">
      <c r="B77" s="14"/>
      <c r="C77" s="14"/>
      <c r="D77" s="14"/>
      <c r="E77" s="12"/>
      <c r="F77" s="12"/>
      <c r="G77" s="12"/>
      <c r="L77" s="12"/>
      <c r="M77" s="12"/>
      <c r="N77" s="12"/>
      <c r="O77" s="12"/>
      <c r="P77" s="12"/>
    </row>
    <row r="78" spans="1:253" x14ac:dyDescent="0.2">
      <c r="A78" s="2"/>
      <c r="B78" s="14"/>
      <c r="C78" s="14"/>
      <c r="D78" s="14"/>
      <c r="E78" s="12"/>
      <c r="F78" s="12"/>
      <c r="G78" s="12"/>
      <c r="L78" s="12"/>
      <c r="M78" s="12"/>
      <c r="N78" s="12"/>
      <c r="O78" s="12"/>
      <c r="P78" s="12"/>
    </row>
    <row r="79" spans="1:253" x14ac:dyDescent="0.2">
      <c r="A79" s="2"/>
      <c r="B79" s="14"/>
      <c r="C79" s="14"/>
      <c r="D79" s="14"/>
      <c r="E79" s="12"/>
      <c r="F79" s="12"/>
      <c r="G79" s="12"/>
      <c r="L79" s="12"/>
      <c r="M79" s="12"/>
      <c r="N79" s="12"/>
      <c r="O79" s="12"/>
      <c r="P79" s="12"/>
    </row>
    <row r="80" spans="1:253" x14ac:dyDescent="0.2">
      <c r="B80" s="14"/>
      <c r="C80" s="14"/>
      <c r="D80" s="14"/>
      <c r="E80" s="12"/>
      <c r="F80" s="12"/>
      <c r="G80" s="12"/>
      <c r="L80" s="12"/>
      <c r="M80" s="12"/>
      <c r="N80" s="12"/>
      <c r="O80" s="12"/>
      <c r="P80" s="12"/>
    </row>
    <row r="81" spans="1:23" x14ac:dyDescent="0.2">
      <c r="A81" s="5"/>
      <c r="B81" s="14"/>
      <c r="C81" s="14"/>
      <c r="D81" s="14"/>
      <c r="E81" s="12"/>
      <c r="F81" s="12"/>
      <c r="G81" s="12"/>
      <c r="L81" s="12"/>
      <c r="M81" s="12"/>
      <c r="N81" s="12"/>
      <c r="O81" s="12"/>
      <c r="P81" s="12"/>
    </row>
    <row r="82" spans="1:23" x14ac:dyDescent="0.2">
      <c r="B82" s="14"/>
      <c r="C82" s="14"/>
      <c r="D82" s="14"/>
      <c r="E82" s="12"/>
      <c r="F82" s="12"/>
      <c r="G82" s="12"/>
      <c r="L82" s="12"/>
      <c r="M82" s="12"/>
      <c r="N82" s="12"/>
      <c r="O82" s="12"/>
      <c r="P82" s="12"/>
      <c r="Q82" s="7"/>
      <c r="R82" s="7"/>
      <c r="S82" s="7"/>
      <c r="T82" s="7"/>
      <c r="U82" s="7"/>
      <c r="V82" s="7"/>
      <c r="W82" s="7"/>
    </row>
    <row r="83" spans="1:23" x14ac:dyDescent="0.2">
      <c r="B83" s="14"/>
      <c r="C83" s="14"/>
      <c r="D83" s="14"/>
      <c r="E83" s="12"/>
      <c r="F83" s="12"/>
      <c r="G83" s="12"/>
      <c r="L83" s="12"/>
      <c r="M83" s="12"/>
      <c r="N83" s="12"/>
      <c r="O83" s="12"/>
      <c r="P83" s="12"/>
      <c r="Q83" s="7"/>
      <c r="R83" s="7"/>
      <c r="S83" s="7"/>
      <c r="T83" s="7"/>
      <c r="U83" s="7"/>
      <c r="V83" s="7"/>
      <c r="W83" s="7"/>
    </row>
    <row r="84" spans="1:23" x14ac:dyDescent="0.2">
      <c r="B84" s="14"/>
      <c r="C84" s="14"/>
      <c r="D84" s="14"/>
      <c r="E84" s="12"/>
      <c r="F84" s="12"/>
      <c r="G84" s="12"/>
      <c r="L84" s="12"/>
      <c r="M84" s="12"/>
      <c r="N84" s="12"/>
      <c r="O84" s="12"/>
      <c r="P84" s="12"/>
      <c r="Q84" s="7"/>
      <c r="R84" s="7"/>
      <c r="S84" s="7"/>
      <c r="T84" s="7"/>
      <c r="U84" s="7"/>
      <c r="V84" s="7"/>
      <c r="W84" s="7"/>
    </row>
    <row r="85" spans="1:23" x14ac:dyDescent="0.2">
      <c r="B85" s="14"/>
      <c r="C85" s="14"/>
      <c r="D85" s="14"/>
      <c r="E85" s="12"/>
      <c r="F85" s="12"/>
      <c r="G85" s="12"/>
      <c r="L85" s="12"/>
      <c r="M85" s="12"/>
      <c r="N85" s="12"/>
      <c r="O85" s="12"/>
      <c r="P85" s="12"/>
      <c r="Q85" s="7"/>
      <c r="R85" s="7"/>
      <c r="S85" s="7"/>
      <c r="T85" s="7"/>
      <c r="U85" s="7"/>
      <c r="V85" s="7"/>
      <c r="W85" s="7"/>
    </row>
    <row r="86" spans="1:23" x14ac:dyDescent="0.2">
      <c r="B86" s="14"/>
      <c r="C86" s="14"/>
      <c r="D86" s="14"/>
      <c r="E86" s="12"/>
      <c r="F86" s="12"/>
      <c r="G86" s="12"/>
      <c r="L86" s="12"/>
      <c r="M86" s="12"/>
      <c r="N86" s="12"/>
      <c r="O86" s="12"/>
      <c r="P86" s="12"/>
      <c r="Q86" s="7"/>
      <c r="R86" s="7"/>
      <c r="S86" s="7"/>
      <c r="T86" s="7"/>
      <c r="U86" s="7"/>
      <c r="V86" s="7"/>
      <c r="W86" s="7"/>
    </row>
    <row r="87" spans="1:23" x14ac:dyDescent="0.2">
      <c r="B87" s="14"/>
      <c r="C87" s="14"/>
      <c r="D87" s="14"/>
      <c r="E87" s="12"/>
      <c r="F87" s="12"/>
      <c r="G87" s="12"/>
      <c r="L87" s="12"/>
      <c r="M87" s="12"/>
      <c r="N87" s="12"/>
      <c r="O87" s="12"/>
      <c r="P87" s="12"/>
    </row>
    <row r="88" spans="1:23" x14ac:dyDescent="0.2">
      <c r="A88" s="2"/>
      <c r="B88" s="14"/>
      <c r="C88" s="14"/>
      <c r="D88" s="14"/>
      <c r="E88" s="12"/>
      <c r="F88" s="12"/>
      <c r="G88" s="12"/>
      <c r="L88" s="12"/>
      <c r="M88" s="12"/>
      <c r="N88" s="12"/>
      <c r="O88" s="12"/>
      <c r="P88" s="12"/>
    </row>
    <row r="89" spans="1:23" x14ac:dyDescent="0.2">
      <c r="A89" s="2"/>
      <c r="B89" s="14"/>
      <c r="C89" s="14"/>
      <c r="D89" s="14"/>
      <c r="E89" s="12"/>
      <c r="F89" s="12"/>
      <c r="G89" s="12"/>
      <c r="L89" s="12"/>
      <c r="M89" s="12"/>
      <c r="N89" s="12"/>
      <c r="O89" s="12"/>
      <c r="P89" s="12"/>
    </row>
    <row r="90" spans="1:23" x14ac:dyDescent="0.2">
      <c r="B90" s="14"/>
      <c r="C90" s="14"/>
      <c r="D90" s="14"/>
      <c r="E90" s="12"/>
      <c r="F90" s="12"/>
      <c r="G90" s="12"/>
      <c r="L90" s="12"/>
      <c r="M90" s="12"/>
      <c r="N90" s="12"/>
      <c r="O90" s="12"/>
      <c r="P90" s="12"/>
      <c r="Q90" s="7"/>
      <c r="R90" s="7"/>
      <c r="S90" s="7"/>
      <c r="T90" s="7"/>
      <c r="U90" s="7"/>
      <c r="V90" s="7"/>
      <c r="W90" s="7"/>
    </row>
    <row r="91" spans="1:23" ht="12" customHeight="1" x14ac:dyDescent="0.2">
      <c r="A91" s="5"/>
      <c r="B91" s="14"/>
      <c r="C91" s="14"/>
      <c r="D91" s="14"/>
      <c r="E91" s="12"/>
      <c r="F91" s="12"/>
      <c r="G91" s="12"/>
      <c r="L91" s="12"/>
      <c r="M91" s="12"/>
      <c r="N91" s="12"/>
      <c r="O91" s="12"/>
      <c r="P91" s="12"/>
      <c r="Q91" s="7"/>
      <c r="R91" s="7"/>
      <c r="S91" s="7"/>
      <c r="T91" s="7"/>
      <c r="U91" s="7"/>
      <c r="V91" s="7"/>
      <c r="W91" s="7"/>
    </row>
    <row r="92" spans="1:23" x14ac:dyDescent="0.2">
      <c r="B92" s="14"/>
      <c r="C92" s="14"/>
      <c r="D92" s="14"/>
      <c r="E92" s="12"/>
      <c r="F92" s="12"/>
      <c r="G92" s="12"/>
      <c r="L92" s="12"/>
      <c r="M92" s="12"/>
      <c r="N92" s="12"/>
      <c r="O92" s="12"/>
      <c r="P92" s="12"/>
      <c r="Q92" s="7"/>
      <c r="R92" s="7"/>
      <c r="S92" s="7"/>
      <c r="T92" s="7"/>
      <c r="U92" s="7"/>
      <c r="V92" s="7"/>
      <c r="W92" s="7"/>
    </row>
    <row r="93" spans="1:23" x14ac:dyDescent="0.2">
      <c r="B93" s="14"/>
      <c r="C93" s="14"/>
      <c r="D93" s="14"/>
      <c r="E93" s="12"/>
      <c r="F93" s="12"/>
      <c r="G93" s="12"/>
      <c r="L93" s="12"/>
      <c r="M93" s="12"/>
      <c r="N93" s="12"/>
      <c r="O93" s="12"/>
      <c r="P93" s="12"/>
      <c r="Q93" s="7"/>
      <c r="R93" s="7"/>
      <c r="S93" s="7"/>
      <c r="T93" s="7"/>
      <c r="U93" s="7"/>
      <c r="V93" s="7"/>
      <c r="W93" s="7"/>
    </row>
    <row r="94" spans="1:23" x14ac:dyDescent="0.2">
      <c r="B94" s="14"/>
      <c r="C94" s="14"/>
      <c r="D94" s="14"/>
      <c r="E94" s="12"/>
      <c r="F94" s="12"/>
      <c r="G94" s="12"/>
      <c r="L94" s="12"/>
      <c r="M94" s="12"/>
      <c r="N94" s="12"/>
      <c r="O94" s="12"/>
      <c r="P94" s="12"/>
      <c r="Q94" s="7"/>
      <c r="R94" s="7"/>
      <c r="S94" s="7"/>
      <c r="T94" s="7"/>
      <c r="U94" s="7"/>
      <c r="V94" s="7"/>
      <c r="W94" s="7"/>
    </row>
    <row r="95" spans="1:23" x14ac:dyDescent="0.2">
      <c r="B95" s="14"/>
      <c r="C95" s="14"/>
      <c r="D95" s="14"/>
      <c r="E95" s="12"/>
      <c r="F95" s="12"/>
      <c r="G95" s="12"/>
      <c r="L95" s="12"/>
      <c r="M95" s="12"/>
      <c r="N95" s="12"/>
      <c r="O95" s="12"/>
      <c r="P95" s="12"/>
      <c r="Q95" s="7"/>
      <c r="R95" s="7"/>
      <c r="S95" s="7"/>
      <c r="T95" s="7"/>
      <c r="U95" s="7"/>
      <c r="V95" s="7"/>
      <c r="W95" s="7"/>
    </row>
    <row r="96" spans="1:23" x14ac:dyDescent="0.2">
      <c r="B96" s="14"/>
      <c r="C96" s="14"/>
      <c r="D96" s="14"/>
      <c r="E96" s="12"/>
      <c r="F96" s="12"/>
      <c r="G96" s="12"/>
      <c r="L96" s="12"/>
      <c r="M96" s="12"/>
      <c r="N96" s="12"/>
      <c r="O96" s="12"/>
      <c r="P96" s="12"/>
      <c r="Q96" s="7"/>
      <c r="R96" s="7"/>
      <c r="S96" s="7"/>
      <c r="T96" s="7"/>
      <c r="U96" s="7"/>
      <c r="V96" s="7"/>
      <c r="W96" s="7"/>
    </row>
  </sheetData>
  <mergeCells count="8">
    <mergeCell ref="A2:F2"/>
    <mergeCell ref="A1:F1"/>
    <mergeCell ref="B4:D4"/>
    <mergeCell ref="A62:F62"/>
    <mergeCell ref="A3:F3"/>
    <mergeCell ref="E5:F5"/>
    <mergeCell ref="V21:AA21"/>
    <mergeCell ref="V31:AA31"/>
  </mergeCells>
  <pageMargins left="0.5" right="0.5" top="0.5" bottom="0.25" header="0.5" footer="0.5"/>
  <pageSetup scale="2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I98"/>
  <sheetViews>
    <sheetView tabSelected="1" topLeftCell="A10" workbookViewId="0">
      <selection activeCell="R45" sqref="R45"/>
    </sheetView>
  </sheetViews>
  <sheetFormatPr defaultColWidth="8.85546875" defaultRowHeight="12.75" x14ac:dyDescent="0.2"/>
  <cols>
    <col min="1" max="1" width="30.7109375" customWidth="1"/>
    <col min="2" max="2" width="12" bestFit="1" customWidth="1"/>
    <col min="3" max="3" width="15.7109375" customWidth="1"/>
    <col min="4" max="4" width="12.42578125" bestFit="1" customWidth="1"/>
    <col min="5" max="6" width="10.7109375" hidden="1" customWidth="1"/>
    <col min="7" max="7" width="20.5703125" customWidth="1"/>
    <col min="8" max="10" width="12" bestFit="1" customWidth="1"/>
    <col min="11" max="11" width="9" bestFit="1" customWidth="1"/>
    <col min="12" max="12" width="9.28515625" bestFit="1" customWidth="1"/>
    <col min="13" max="14" width="12.5703125" bestFit="1" customWidth="1"/>
    <col min="15" max="15" width="9" bestFit="1" customWidth="1"/>
  </cols>
  <sheetData>
    <row r="1" spans="1:17" ht="18" x14ac:dyDescent="0.25">
      <c r="A1" s="147" t="s">
        <v>28</v>
      </c>
      <c r="B1" s="147"/>
      <c r="C1" s="147"/>
      <c r="D1" s="147"/>
      <c r="E1" s="147"/>
      <c r="F1" s="147"/>
    </row>
    <row r="2" spans="1:17" ht="18" customHeight="1" x14ac:dyDescent="0.25">
      <c r="A2" s="147" t="s">
        <v>119</v>
      </c>
      <c r="B2" s="147"/>
      <c r="C2" s="147"/>
      <c r="D2" s="147"/>
      <c r="E2" s="147"/>
      <c r="F2" s="147"/>
    </row>
    <row r="3" spans="1:17" ht="18" customHeight="1" x14ac:dyDescent="0.25">
      <c r="A3" s="147" t="s">
        <v>19</v>
      </c>
      <c r="B3" s="147"/>
      <c r="C3" s="147"/>
      <c r="D3" s="147"/>
      <c r="E3" s="147"/>
      <c r="F3" s="147"/>
    </row>
    <row r="4" spans="1:17" ht="18" x14ac:dyDescent="0.25">
      <c r="A4" s="1"/>
      <c r="B4" s="158"/>
      <c r="C4" s="158"/>
      <c r="D4" s="158"/>
    </row>
    <row r="5" spans="1:17" ht="18" customHeight="1" x14ac:dyDescent="0.2">
      <c r="B5" s="4">
        <v>2025</v>
      </c>
      <c r="C5" s="4">
        <v>2025</v>
      </c>
      <c r="D5" s="4">
        <v>2025</v>
      </c>
      <c r="E5" s="157" t="s">
        <v>90</v>
      </c>
      <c r="F5" s="157"/>
      <c r="G5" s="116"/>
      <c r="L5" s="116">
        <v>2024</v>
      </c>
      <c r="M5" s="116">
        <v>2024</v>
      </c>
      <c r="N5" s="116">
        <v>2024</v>
      </c>
      <c r="O5" s="132">
        <v>2025</v>
      </c>
      <c r="P5" s="132">
        <v>2025</v>
      </c>
      <c r="Q5" s="132">
        <v>2025</v>
      </c>
    </row>
    <row r="6" spans="1:17" ht="18" customHeight="1" x14ac:dyDescent="0.25">
      <c r="A6" s="3"/>
      <c r="B6" s="4" t="s">
        <v>2</v>
      </c>
      <c r="C6" s="4" t="s">
        <v>3</v>
      </c>
      <c r="D6" s="4" t="s">
        <v>8</v>
      </c>
      <c r="E6" s="27">
        <v>50</v>
      </c>
      <c r="F6" s="27">
        <v>100</v>
      </c>
      <c r="G6" s="116"/>
      <c r="H6" t="s">
        <v>2</v>
      </c>
      <c r="I6" t="s">
        <v>104</v>
      </c>
      <c r="J6" t="s">
        <v>8</v>
      </c>
      <c r="L6" s="116" t="s">
        <v>2</v>
      </c>
      <c r="M6" s="116" t="s">
        <v>3</v>
      </c>
      <c r="N6" s="116" t="s">
        <v>8</v>
      </c>
      <c r="O6" s="132" t="s">
        <v>2</v>
      </c>
      <c r="P6" s="132" t="s">
        <v>3</v>
      </c>
      <c r="Q6" s="132" t="s">
        <v>8</v>
      </c>
    </row>
    <row r="7" spans="1:17" x14ac:dyDescent="0.2">
      <c r="B7" s="4" t="s">
        <v>1</v>
      </c>
      <c r="C7" s="4" t="s">
        <v>4</v>
      </c>
      <c r="D7" s="4" t="s">
        <v>4</v>
      </c>
      <c r="E7" s="2" t="s">
        <v>26</v>
      </c>
      <c r="F7" s="4" t="s">
        <v>26</v>
      </c>
      <c r="G7" s="116"/>
      <c r="H7" s="116" t="s">
        <v>107</v>
      </c>
      <c r="I7" s="116" t="s">
        <v>107</v>
      </c>
      <c r="J7" s="116" t="s">
        <v>107</v>
      </c>
      <c r="L7" s="116" t="s">
        <v>1</v>
      </c>
      <c r="M7" s="116" t="s">
        <v>4</v>
      </c>
      <c r="N7" s="116" t="s">
        <v>4</v>
      </c>
      <c r="O7" s="132" t="s">
        <v>1</v>
      </c>
      <c r="P7" s="132" t="s">
        <v>4</v>
      </c>
      <c r="Q7" s="132" t="s">
        <v>4</v>
      </c>
    </row>
    <row r="8" spans="1:17" x14ac:dyDescent="0.2">
      <c r="A8" s="2" t="s">
        <v>25</v>
      </c>
      <c r="B8" s="2"/>
      <c r="C8" s="2"/>
      <c r="D8" s="4"/>
      <c r="E8" s="2"/>
      <c r="F8" s="4"/>
      <c r="G8" s="116"/>
      <c r="L8" s="2"/>
      <c r="M8" s="2"/>
      <c r="N8" s="116"/>
    </row>
    <row r="9" spans="1:17" x14ac:dyDescent="0.2">
      <c r="A9" s="2" t="s">
        <v>6</v>
      </c>
      <c r="B9" s="2"/>
      <c r="C9" s="2"/>
      <c r="D9" s="4"/>
      <c r="E9" s="2"/>
      <c r="F9" s="4"/>
      <c r="G9" s="116"/>
      <c r="L9" s="2"/>
      <c r="M9" s="2"/>
      <c r="N9" s="116"/>
    </row>
    <row r="10" spans="1:17" x14ac:dyDescent="0.2">
      <c r="A10" s="2" t="s">
        <v>7</v>
      </c>
      <c r="B10" s="2"/>
      <c r="C10" s="2"/>
      <c r="D10" s="4"/>
      <c r="E10" s="2"/>
      <c r="F10" s="4"/>
      <c r="G10" s="116"/>
      <c r="L10" s="2"/>
      <c r="M10" s="2"/>
      <c r="N10" s="116"/>
    </row>
    <row r="11" spans="1:17" x14ac:dyDescent="0.2">
      <c r="B11" s="2"/>
      <c r="C11" s="2"/>
      <c r="D11" s="4"/>
      <c r="E11" s="2"/>
      <c r="F11" s="4"/>
      <c r="G11" s="116"/>
      <c r="L11" s="2"/>
      <c r="M11" s="2"/>
      <c r="N11" s="116"/>
    </row>
    <row r="12" spans="1:17" x14ac:dyDescent="0.2">
      <c r="A12" s="10" t="s">
        <v>30</v>
      </c>
      <c r="E12" s="25"/>
      <c r="F12" s="25"/>
      <c r="I12" s="98"/>
      <c r="J12" s="98"/>
      <c r="K12" s="98"/>
    </row>
    <row r="13" spans="1:17" x14ac:dyDescent="0.2">
      <c r="A13" t="s">
        <v>14</v>
      </c>
      <c r="B13" s="14">
        <v>1303.0974000000001</v>
      </c>
      <c r="C13" s="14">
        <v>1303.0974000000001</v>
      </c>
      <c r="D13" s="14">
        <v>0</v>
      </c>
      <c r="E13" s="15">
        <f>D13+50</f>
        <v>50</v>
      </c>
      <c r="F13" s="15">
        <f>D13+100</f>
        <v>100</v>
      </c>
      <c r="G13" s="14"/>
      <c r="H13">
        <f>+B13*12</f>
        <v>15637.168800000001</v>
      </c>
      <c r="I13">
        <f t="shared" ref="I13:J13" si="0">+C13*12</f>
        <v>15637.168800000001</v>
      </c>
      <c r="J13">
        <f t="shared" si="0"/>
        <v>0</v>
      </c>
      <c r="K13" s="14"/>
      <c r="L13" s="14">
        <v>1076.94</v>
      </c>
      <c r="M13" s="14">
        <v>1076.94</v>
      </c>
      <c r="N13" s="14">
        <v>0</v>
      </c>
      <c r="O13" s="134">
        <f>+P13+Q13</f>
        <v>1303.0974000000001</v>
      </c>
      <c r="P13" s="134">
        <f>+M13*1.21</f>
        <v>1303.0974000000001</v>
      </c>
      <c r="Q13" s="134">
        <f>+N13*1.03</f>
        <v>0</v>
      </c>
    </row>
    <row r="14" spans="1:17" x14ac:dyDescent="0.2">
      <c r="A14" t="s">
        <v>15</v>
      </c>
      <c r="B14" s="14">
        <v>3028.3995000000004</v>
      </c>
      <c r="C14" s="14">
        <v>2454.2672000000002</v>
      </c>
      <c r="D14" s="14">
        <v>574.13229999999999</v>
      </c>
      <c r="E14" s="15">
        <f>D14+50</f>
        <v>624.13229999999999</v>
      </c>
      <c r="F14" s="15">
        <f>D14+100</f>
        <v>674.13229999999999</v>
      </c>
      <c r="G14" s="14"/>
      <c r="H14">
        <f t="shared" ref="H14:H16" si="1">+B14*12</f>
        <v>36340.794000000009</v>
      </c>
      <c r="I14">
        <f t="shared" ref="I14:I16" si="2">+C14*12</f>
        <v>29451.206400000003</v>
      </c>
      <c r="J14">
        <f t="shared" ref="J14:J16" si="3">+D14*12</f>
        <v>6889.5875999999998</v>
      </c>
      <c r="K14" s="14"/>
      <c r="L14" s="14">
        <v>2585.73</v>
      </c>
      <c r="M14" s="14">
        <v>2028.3200000000002</v>
      </c>
      <c r="N14" s="14">
        <v>557.41</v>
      </c>
      <c r="O14" s="134">
        <f t="shared" ref="O14:O16" si="4">+P14+Q14</f>
        <v>3028.3995000000004</v>
      </c>
      <c r="P14" s="134">
        <f>+M14*1.21</f>
        <v>2454.2672000000002</v>
      </c>
      <c r="Q14" s="134">
        <f>+N14*1.03</f>
        <v>574.13229999999999</v>
      </c>
    </row>
    <row r="15" spans="1:17" x14ac:dyDescent="0.2">
      <c r="A15" t="s">
        <v>16</v>
      </c>
      <c r="B15" s="14">
        <v>2223.2601</v>
      </c>
      <c r="C15" s="14">
        <v>1917.0514000000001</v>
      </c>
      <c r="D15" s="14">
        <v>306.20870000000002</v>
      </c>
      <c r="E15" s="15">
        <f>D15+50</f>
        <v>356.20870000000002</v>
      </c>
      <c r="F15" s="15">
        <f>D15+100</f>
        <v>406.20870000000002</v>
      </c>
      <c r="G15" s="14"/>
      <c r="H15">
        <f t="shared" si="1"/>
        <v>26679.121200000001</v>
      </c>
      <c r="I15">
        <f t="shared" si="2"/>
        <v>23004.6168</v>
      </c>
      <c r="J15">
        <f t="shared" si="3"/>
        <v>3674.5044000000003</v>
      </c>
      <c r="K15" s="14"/>
      <c r="L15" s="14">
        <v>1881.63</v>
      </c>
      <c r="M15" s="14">
        <v>1584.3400000000001</v>
      </c>
      <c r="N15" s="14">
        <v>297.29000000000002</v>
      </c>
      <c r="O15" s="134">
        <f t="shared" si="4"/>
        <v>2223.2601</v>
      </c>
      <c r="P15" s="134">
        <f>+M15*1.21</f>
        <v>1917.0514000000001</v>
      </c>
      <c r="Q15" s="134">
        <f t="shared" ref="Q15:Q16" si="5">+N15*1.03</f>
        <v>306.20870000000002</v>
      </c>
    </row>
    <row r="16" spans="1:17" x14ac:dyDescent="0.2">
      <c r="A16" t="s">
        <v>17</v>
      </c>
      <c r="B16" s="14">
        <v>3891.0332999999996</v>
      </c>
      <c r="C16" s="14">
        <v>3029.8399999999997</v>
      </c>
      <c r="D16" s="14">
        <v>861.19330000000002</v>
      </c>
      <c r="E16" s="15">
        <f>D16+50</f>
        <v>911.19330000000002</v>
      </c>
      <c r="F16" s="15">
        <f>D16+100</f>
        <v>961.19330000000002</v>
      </c>
      <c r="G16" s="14"/>
      <c r="H16">
        <f t="shared" si="1"/>
        <v>46692.399599999997</v>
      </c>
      <c r="I16">
        <f t="shared" si="2"/>
        <v>36358.079999999994</v>
      </c>
      <c r="J16">
        <f t="shared" si="3"/>
        <v>10334.319600000001</v>
      </c>
      <c r="K16" s="14"/>
      <c r="L16" s="14">
        <v>3340.11</v>
      </c>
      <c r="M16" s="14">
        <v>2504</v>
      </c>
      <c r="N16" s="14">
        <v>836.11</v>
      </c>
      <c r="O16" s="134">
        <f t="shared" si="4"/>
        <v>3891.0332999999996</v>
      </c>
      <c r="P16" s="134">
        <f>+M16*1.21</f>
        <v>3029.8399999999997</v>
      </c>
      <c r="Q16" s="134">
        <f t="shared" si="5"/>
        <v>861.19330000000002</v>
      </c>
    </row>
    <row r="17" spans="1:17" x14ac:dyDescent="0.2">
      <c r="B17" s="14"/>
      <c r="C17" s="14"/>
      <c r="D17" s="14"/>
      <c r="E17" s="7"/>
      <c r="F17" s="12"/>
      <c r="G17" s="14"/>
      <c r="H17" s="90"/>
      <c r="L17" s="14"/>
      <c r="M17" s="14"/>
      <c r="N17" s="14"/>
    </row>
    <row r="18" spans="1:17" x14ac:dyDescent="0.2">
      <c r="B18" s="14"/>
      <c r="C18" s="14"/>
      <c r="D18" s="14"/>
      <c r="F18" s="12"/>
      <c r="G18" s="14"/>
      <c r="H18" s="90"/>
      <c r="L18" s="14"/>
      <c r="M18" s="14"/>
      <c r="N18" s="14"/>
    </row>
    <row r="19" spans="1:17" x14ac:dyDescent="0.2">
      <c r="A19" s="2" t="s">
        <v>6</v>
      </c>
      <c r="B19" s="14"/>
      <c r="C19" s="14"/>
      <c r="D19" s="14"/>
      <c r="F19" s="12"/>
      <c r="G19" s="14"/>
      <c r="H19" s="90"/>
      <c r="L19" s="14"/>
      <c r="M19" s="14"/>
      <c r="N19" s="14"/>
    </row>
    <row r="20" spans="1:17" x14ac:dyDescent="0.2">
      <c r="A20" s="2" t="s">
        <v>9</v>
      </c>
      <c r="B20" s="14"/>
      <c r="C20" s="14"/>
      <c r="D20" s="14"/>
      <c r="F20" s="12"/>
      <c r="G20" s="14"/>
      <c r="H20" s="90"/>
      <c r="L20" s="14"/>
      <c r="M20" s="14"/>
      <c r="N20" s="14"/>
    </row>
    <row r="21" spans="1:17" x14ac:dyDescent="0.2">
      <c r="A21" s="2"/>
      <c r="B21" s="14"/>
      <c r="C21" s="14"/>
      <c r="D21" s="14"/>
      <c r="F21" s="12"/>
      <c r="G21" s="14"/>
      <c r="H21" s="90"/>
      <c r="I21" s="117"/>
      <c r="J21" s="118"/>
      <c r="K21" s="118"/>
      <c r="L21" s="14"/>
      <c r="M21" s="14"/>
      <c r="N21" s="14"/>
      <c r="O21" s="118"/>
      <c r="P21" s="118"/>
      <c r="Q21" s="118"/>
    </row>
    <row r="22" spans="1:17" x14ac:dyDescent="0.2">
      <c r="A22" s="10" t="s">
        <v>30</v>
      </c>
      <c r="B22" s="14"/>
      <c r="C22" s="14"/>
      <c r="D22" s="14"/>
      <c r="F22" s="12"/>
      <c r="G22" s="14"/>
      <c r="H22" s="90"/>
      <c r="I22" s="87"/>
      <c r="J22" s="87"/>
      <c r="K22" s="87"/>
      <c r="L22" s="14"/>
      <c r="M22" s="14"/>
      <c r="N22" s="14"/>
      <c r="O22" s="87"/>
      <c r="P22" s="87"/>
      <c r="Q22" s="87"/>
    </row>
    <row r="23" spans="1:17" x14ac:dyDescent="0.2">
      <c r="A23" s="216" t="s">
        <v>14</v>
      </c>
      <c r="B23" s="217">
        <v>1303.0974000000001</v>
      </c>
      <c r="C23" s="217">
        <v>1064.7828301000002</v>
      </c>
      <c r="D23" s="217">
        <v>316.57256000000001</v>
      </c>
      <c r="E23" s="217">
        <f>D23+50</f>
        <v>366.57256000000001</v>
      </c>
      <c r="F23" s="218">
        <f>D23+100</f>
        <v>416.57256000000001</v>
      </c>
      <c r="G23" s="217"/>
      <c r="H23" s="216">
        <f t="shared" ref="H23:H26" si="6">+B23*12</f>
        <v>15637.168800000001</v>
      </c>
      <c r="I23" s="216">
        <f t="shared" ref="I23:I26" si="7">+C23*12</f>
        <v>12777.393961200003</v>
      </c>
      <c r="J23" s="216">
        <f t="shared" ref="J23:J26" si="8">+D23*12</f>
        <v>3798.8707199999999</v>
      </c>
      <c r="K23" s="184"/>
      <c r="L23" s="217">
        <v>1303.0974000000001</v>
      </c>
      <c r="M23" s="217">
        <v>879.98581000000013</v>
      </c>
      <c r="N23" s="217">
        <v>307.35199999999998</v>
      </c>
      <c r="O23" s="184">
        <v>1303.0974000000001</v>
      </c>
      <c r="P23" s="216">
        <f>+M23*1.21</f>
        <v>1064.7828301000002</v>
      </c>
      <c r="Q23" s="216">
        <f t="shared" ref="Q23:Q26" si="9">+N23*1.03</f>
        <v>316.57256000000001</v>
      </c>
    </row>
    <row r="24" spans="1:17" x14ac:dyDescent="0.2">
      <c r="A24" s="213" t="s">
        <v>15</v>
      </c>
      <c r="B24" s="214">
        <v>3028.3995000000004</v>
      </c>
      <c r="C24" s="214">
        <v>2561.3609662563999</v>
      </c>
      <c r="D24" s="214">
        <v>767.51871400000005</v>
      </c>
      <c r="E24" s="214">
        <f>D24+50</f>
        <v>817.51871400000005</v>
      </c>
      <c r="F24" s="215">
        <f>D24+100</f>
        <v>867.51871400000005</v>
      </c>
      <c r="G24" s="214"/>
      <c r="H24" s="213">
        <f t="shared" si="6"/>
        <v>36340.794000000009</v>
      </c>
      <c r="I24" s="213">
        <f t="shared" si="7"/>
        <v>30736.331595076801</v>
      </c>
      <c r="J24" s="213">
        <f t="shared" si="8"/>
        <v>9210.2245680000015</v>
      </c>
      <c r="K24" s="200"/>
      <c r="L24" s="214">
        <v>3028.3995000000004</v>
      </c>
      <c r="M24" s="214">
        <v>2116.8272448399998</v>
      </c>
      <c r="N24" s="214">
        <v>745.16380000000004</v>
      </c>
      <c r="O24" s="200">
        <v>3028.3995000000004</v>
      </c>
      <c r="P24" s="213">
        <f t="shared" ref="P24:P26" si="10">+M24*1.21</f>
        <v>2561.3609662563999</v>
      </c>
      <c r="Q24" s="213">
        <f t="shared" si="9"/>
        <v>767.51871400000005</v>
      </c>
    </row>
    <row r="25" spans="1:17" x14ac:dyDescent="0.2">
      <c r="A25" s="207" t="s">
        <v>16</v>
      </c>
      <c r="B25" s="208">
        <v>2381.2199999999998</v>
      </c>
      <c r="C25" s="208">
        <v>1721.9998204447509</v>
      </c>
      <c r="D25" s="208">
        <v>659.22204199999999</v>
      </c>
      <c r="E25" s="208">
        <f>D25+50</f>
        <v>709.22204199999999</v>
      </c>
      <c r="F25" s="209">
        <f>D25+100</f>
        <v>759.22204199999999</v>
      </c>
      <c r="G25" s="208"/>
      <c r="H25" s="207">
        <f t="shared" si="6"/>
        <v>28574.639999999999</v>
      </c>
      <c r="I25" s="207">
        <f t="shared" si="7"/>
        <v>20663.997845337009</v>
      </c>
      <c r="J25" s="207">
        <f t="shared" si="8"/>
        <v>7910.6645040000003</v>
      </c>
      <c r="K25" s="195"/>
      <c r="L25" s="208">
        <v>2223.2601</v>
      </c>
      <c r="M25" s="208">
        <v>1423.1403474750007</v>
      </c>
      <c r="N25" s="208">
        <v>640.02139999999997</v>
      </c>
      <c r="O25" s="195">
        <f>+P25+Q25</f>
        <v>2381.221862444751</v>
      </c>
      <c r="P25" s="207">
        <f t="shared" si="10"/>
        <v>1721.9998204447509</v>
      </c>
      <c r="Q25" s="207">
        <f t="shared" si="9"/>
        <v>659.22204199999999</v>
      </c>
    </row>
    <row r="26" spans="1:17" x14ac:dyDescent="0.2">
      <c r="A26" s="219" t="s">
        <v>17</v>
      </c>
      <c r="B26" s="220">
        <v>3891.0332999999996</v>
      </c>
      <c r="C26" s="220">
        <v>3203.6886818436483</v>
      </c>
      <c r="D26" s="220">
        <v>1069.7691240000001</v>
      </c>
      <c r="E26" s="220">
        <f>D26+50</f>
        <v>1119.7691240000001</v>
      </c>
      <c r="F26" s="221">
        <f>D26+100</f>
        <v>1169.7691240000001</v>
      </c>
      <c r="G26" s="220"/>
      <c r="H26" s="219">
        <f t="shared" si="6"/>
        <v>46692.399599999997</v>
      </c>
      <c r="I26" s="219">
        <f t="shared" si="7"/>
        <v>38444.264182123778</v>
      </c>
      <c r="J26" s="219">
        <f t="shared" si="8"/>
        <v>12837.229488000001</v>
      </c>
      <c r="K26" s="179"/>
      <c r="L26" s="220">
        <v>3891.0332999999996</v>
      </c>
      <c r="M26" s="220">
        <v>2647.6765965649988</v>
      </c>
      <c r="N26" s="220">
        <v>1038.6108000000002</v>
      </c>
      <c r="O26" s="179">
        <v>3891.0332999999996</v>
      </c>
      <c r="P26" s="219">
        <f t="shared" si="10"/>
        <v>3203.6886818436483</v>
      </c>
      <c r="Q26" s="219">
        <f t="shared" si="9"/>
        <v>1069.7691240000001</v>
      </c>
    </row>
    <row r="27" spans="1:17" x14ac:dyDescent="0.2">
      <c r="B27" s="14"/>
      <c r="C27" s="14"/>
      <c r="D27" s="14"/>
      <c r="E27" s="14"/>
      <c r="F27" s="12"/>
      <c r="G27" s="14"/>
      <c r="H27" s="90"/>
      <c r="I27" s="53"/>
      <c r="J27" s="53"/>
      <c r="K27" s="53"/>
      <c r="L27" s="14"/>
      <c r="M27" s="14"/>
      <c r="N27" s="14"/>
      <c r="O27" s="36"/>
      <c r="P27" s="36"/>
      <c r="Q27" s="36"/>
    </row>
    <row r="28" spans="1:17" x14ac:dyDescent="0.2">
      <c r="B28" s="14"/>
      <c r="C28" s="14"/>
      <c r="D28" s="14"/>
      <c r="E28" s="14"/>
      <c r="F28" s="12"/>
      <c r="G28" s="14"/>
      <c r="H28" s="90"/>
      <c r="I28" s="36"/>
      <c r="J28" s="36"/>
      <c r="K28" s="36"/>
      <c r="L28" s="14"/>
      <c r="M28" s="14"/>
      <c r="N28" s="14"/>
      <c r="O28" s="36"/>
      <c r="P28" s="36"/>
      <c r="Q28" s="36"/>
    </row>
    <row r="29" spans="1:17" x14ac:dyDescent="0.2">
      <c r="A29" s="2" t="s">
        <v>6</v>
      </c>
      <c r="B29" s="14"/>
      <c r="C29" s="14"/>
      <c r="D29" s="14"/>
      <c r="E29" s="14"/>
      <c r="F29" s="12"/>
      <c r="G29" s="14"/>
      <c r="H29" s="90"/>
      <c r="I29" s="36"/>
      <c r="J29" s="36"/>
      <c r="K29" s="36"/>
      <c r="L29" s="14"/>
      <c r="M29" s="14"/>
      <c r="N29" s="14"/>
      <c r="O29" s="36"/>
      <c r="P29" s="36"/>
      <c r="Q29" s="36"/>
    </row>
    <row r="30" spans="1:17" x14ac:dyDescent="0.2">
      <c r="A30" s="2" t="s">
        <v>10</v>
      </c>
      <c r="B30" s="14"/>
      <c r="C30" s="14"/>
      <c r="D30" s="14"/>
      <c r="E30" s="14"/>
      <c r="F30" s="12"/>
      <c r="G30" s="14"/>
      <c r="H30" s="90"/>
      <c r="I30" s="36"/>
      <c r="J30" s="36"/>
      <c r="K30" s="36"/>
      <c r="L30" s="14"/>
      <c r="M30" s="14"/>
      <c r="N30" s="14"/>
      <c r="O30" s="36"/>
      <c r="P30" s="36"/>
      <c r="Q30" s="36"/>
    </row>
    <row r="31" spans="1:17" x14ac:dyDescent="0.2">
      <c r="B31" s="14"/>
      <c r="C31" s="14"/>
      <c r="D31" s="14"/>
      <c r="E31" s="14"/>
      <c r="F31" s="12"/>
      <c r="G31" s="14"/>
      <c r="H31" s="90"/>
      <c r="I31" s="117"/>
      <c r="J31" s="118"/>
      <c r="K31" s="118"/>
      <c r="L31" s="14"/>
      <c r="M31" s="14"/>
      <c r="N31" s="14"/>
      <c r="O31" s="118"/>
      <c r="P31" s="118"/>
      <c r="Q31" s="118"/>
    </row>
    <row r="32" spans="1:17" x14ac:dyDescent="0.2">
      <c r="A32" s="10" t="s">
        <v>30</v>
      </c>
      <c r="B32" s="14"/>
      <c r="C32" s="14"/>
      <c r="D32" s="14"/>
      <c r="E32" s="14"/>
      <c r="F32" s="12"/>
      <c r="G32" s="14"/>
      <c r="H32" s="90"/>
      <c r="I32" s="87"/>
      <c r="J32" s="87"/>
      <c r="K32" s="87"/>
      <c r="L32" s="14"/>
      <c r="M32" s="14"/>
      <c r="N32" s="14"/>
      <c r="O32" s="87"/>
      <c r="P32" s="87"/>
      <c r="Q32" s="87"/>
    </row>
    <row r="33" spans="1:19" x14ac:dyDescent="0.2">
      <c r="A33" s="207" t="s">
        <v>14</v>
      </c>
      <c r="B33" s="208">
        <v>1303.0974000000001</v>
      </c>
      <c r="C33" s="208">
        <v>881.27506500000015</v>
      </c>
      <c r="D33" s="208">
        <v>592.01402699999994</v>
      </c>
      <c r="E33" s="208">
        <f>D33+50</f>
        <v>642.01402699999994</v>
      </c>
      <c r="F33" s="209">
        <f>D33+100</f>
        <v>692.01402699999994</v>
      </c>
      <c r="G33" s="208"/>
      <c r="H33" s="207">
        <f t="shared" ref="H33:H36" si="11">+B33*12</f>
        <v>15637.168800000001</v>
      </c>
      <c r="I33" s="207">
        <f t="shared" ref="I33:I36" si="12">+C33*12</f>
        <v>10575.300780000001</v>
      </c>
      <c r="J33" s="207">
        <f t="shared" ref="J33:J36" si="13">+D33*12</f>
        <v>7104.1683239999993</v>
      </c>
      <c r="K33" s="195"/>
      <c r="L33" s="208">
        <v>1303.0974000000001</v>
      </c>
      <c r="M33" s="208">
        <v>728.32650000000012</v>
      </c>
      <c r="N33" s="208">
        <v>574.77089999999998</v>
      </c>
      <c r="O33" s="195">
        <v>1303.0974000000001</v>
      </c>
      <c r="P33" s="207">
        <f>+M33*1.21</f>
        <v>881.27506500000015</v>
      </c>
      <c r="Q33" s="207">
        <f t="shared" ref="Q33:Q36" si="14">+N33*1.03</f>
        <v>592.01402699999994</v>
      </c>
    </row>
    <row r="34" spans="1:19" x14ac:dyDescent="0.2">
      <c r="A34" s="210" t="s">
        <v>15</v>
      </c>
      <c r="B34" s="211">
        <v>3028.3995000000004</v>
      </c>
      <c r="C34" s="211">
        <v>2592.0842640000005</v>
      </c>
      <c r="D34" s="211">
        <v>912.76653300000009</v>
      </c>
      <c r="E34" s="211">
        <f>D34+50</f>
        <v>962.76653300000009</v>
      </c>
      <c r="F34" s="212">
        <f>D34+100</f>
        <v>1012.7665330000001</v>
      </c>
      <c r="G34" s="211"/>
      <c r="H34" s="210">
        <f t="shared" si="11"/>
        <v>36340.794000000009</v>
      </c>
      <c r="I34" s="210">
        <f t="shared" si="12"/>
        <v>31105.011168000005</v>
      </c>
      <c r="J34" s="210">
        <f t="shared" si="13"/>
        <v>10953.198396000002</v>
      </c>
      <c r="K34" s="174"/>
      <c r="L34" s="211">
        <v>3028.3995000000004</v>
      </c>
      <c r="M34" s="211">
        <v>2142.2184000000007</v>
      </c>
      <c r="N34" s="211">
        <v>886.18110000000001</v>
      </c>
      <c r="O34" s="174">
        <v>3028.3995000000004</v>
      </c>
      <c r="P34" s="210">
        <f t="shared" ref="P34:P36" si="15">+M34*1.21</f>
        <v>2592.0842640000005</v>
      </c>
      <c r="Q34" s="210">
        <f t="shared" si="14"/>
        <v>912.76653300000009</v>
      </c>
    </row>
    <row r="35" spans="1:19" x14ac:dyDescent="0.2">
      <c r="A35" s="213" t="s">
        <v>16</v>
      </c>
      <c r="B35" s="214">
        <v>2223.2601</v>
      </c>
      <c r="C35" s="214">
        <v>1678.0743429999998</v>
      </c>
      <c r="D35" s="214">
        <v>861.514454</v>
      </c>
      <c r="E35" s="214">
        <f>D35+50</f>
        <v>911.514454</v>
      </c>
      <c r="F35" s="215">
        <f>D35+100</f>
        <v>961.514454</v>
      </c>
      <c r="G35" s="214"/>
      <c r="H35" s="213">
        <f t="shared" si="11"/>
        <v>26679.121200000001</v>
      </c>
      <c r="I35" s="213">
        <f t="shared" si="12"/>
        <v>20136.892115999995</v>
      </c>
      <c r="J35" s="213">
        <f t="shared" si="13"/>
        <v>10338.173448</v>
      </c>
      <c r="K35" s="200"/>
      <c r="L35" s="214">
        <v>2223.2601</v>
      </c>
      <c r="M35" s="214">
        <v>1386.8382999999999</v>
      </c>
      <c r="N35" s="214">
        <v>836.42179999999996</v>
      </c>
      <c r="O35" s="200">
        <v>2223.2601</v>
      </c>
      <c r="P35" s="213">
        <f t="shared" si="15"/>
        <v>1678.0743429999998</v>
      </c>
      <c r="Q35" s="213">
        <f t="shared" si="14"/>
        <v>861.514454</v>
      </c>
    </row>
    <row r="36" spans="1:19" x14ac:dyDescent="0.2">
      <c r="A36" s="216" t="s">
        <v>17</v>
      </c>
      <c r="B36" s="217">
        <v>3891.0332999999996</v>
      </c>
      <c r="C36" s="217">
        <v>3339.9995419999991</v>
      </c>
      <c r="D36" s="217">
        <v>1164.6241929999999</v>
      </c>
      <c r="E36" s="217">
        <f>D36+50</f>
        <v>1214.6241929999999</v>
      </c>
      <c r="F36" s="218">
        <f>D36+100</f>
        <v>1264.6241929999999</v>
      </c>
      <c r="G36" s="217"/>
      <c r="H36" s="216">
        <f t="shared" si="11"/>
        <v>46692.399599999997</v>
      </c>
      <c r="I36" s="216">
        <f t="shared" si="12"/>
        <v>40079.994503999988</v>
      </c>
      <c r="J36" s="216">
        <f t="shared" si="13"/>
        <v>13975.490315999999</v>
      </c>
      <c r="K36" s="184"/>
      <c r="L36" s="217">
        <v>3891.0332999999996</v>
      </c>
      <c r="M36" s="217">
        <v>2760.3301999999994</v>
      </c>
      <c r="N36" s="217">
        <v>1130.7030999999999</v>
      </c>
      <c r="O36" s="184">
        <v>3891.0332999999996</v>
      </c>
      <c r="P36" s="216">
        <f t="shared" si="15"/>
        <v>3339.9995419999991</v>
      </c>
      <c r="Q36" s="216">
        <f t="shared" si="14"/>
        <v>1164.6241929999999</v>
      </c>
    </row>
    <row r="37" spans="1:19" x14ac:dyDescent="0.2">
      <c r="B37" s="14"/>
      <c r="C37" s="14"/>
      <c r="D37" s="14"/>
      <c r="E37" s="14"/>
      <c r="F37" s="12"/>
      <c r="G37" s="14"/>
      <c r="H37" s="90"/>
      <c r="L37" s="14"/>
      <c r="M37" s="14"/>
      <c r="N37" s="14"/>
    </row>
    <row r="38" spans="1:19" x14ac:dyDescent="0.2">
      <c r="A38" s="2" t="s">
        <v>31</v>
      </c>
      <c r="B38" s="14"/>
      <c r="C38" s="14"/>
      <c r="D38" s="14"/>
      <c r="E38" s="14"/>
      <c r="F38" s="12"/>
      <c r="G38" s="14"/>
      <c r="H38" s="90"/>
      <c r="L38" s="14"/>
      <c r="M38" s="14"/>
      <c r="N38" s="14"/>
    </row>
    <row r="39" spans="1:19" x14ac:dyDescent="0.2">
      <c r="B39" s="14"/>
      <c r="C39" s="14"/>
      <c r="D39" s="14"/>
      <c r="E39" s="14"/>
      <c r="F39" s="12"/>
      <c r="G39" s="14"/>
      <c r="H39" s="90"/>
      <c r="L39" s="14"/>
      <c r="M39" s="14"/>
      <c r="N39" s="14"/>
    </row>
    <row r="40" spans="1:19" x14ac:dyDescent="0.2">
      <c r="A40" s="123" t="s">
        <v>30</v>
      </c>
      <c r="B40" s="124"/>
      <c r="C40" s="124"/>
      <c r="D40" s="124"/>
      <c r="E40" s="124"/>
      <c r="F40" s="125"/>
      <c r="G40" s="124"/>
      <c r="H40" s="126"/>
      <c r="I40" s="127"/>
      <c r="J40" s="127"/>
      <c r="K40" s="127"/>
      <c r="L40" s="124"/>
      <c r="M40" s="124"/>
      <c r="N40" s="124"/>
    </row>
    <row r="41" spans="1:19" x14ac:dyDescent="0.2">
      <c r="A41" s="127" t="s">
        <v>14</v>
      </c>
      <c r="B41" s="14">
        <v>1303.0974000000001</v>
      </c>
      <c r="C41" s="14">
        <f t="shared" ref="C41:C44" si="16">+B41-D41</f>
        <v>0</v>
      </c>
      <c r="D41" s="124">
        <v>1303.0974000000001</v>
      </c>
      <c r="E41" s="124">
        <f>D41+50</f>
        <v>1353.0974000000001</v>
      </c>
      <c r="F41" s="125">
        <f>D41+100</f>
        <v>1403.0974000000001</v>
      </c>
      <c r="G41" s="124"/>
      <c r="H41" s="127">
        <f t="shared" ref="H41:H44" si="17">+B41*12</f>
        <v>15637.168800000001</v>
      </c>
      <c r="I41" s="127">
        <f t="shared" ref="I41:I44" si="18">+C41*12</f>
        <v>0</v>
      </c>
      <c r="J41" s="127">
        <f t="shared" ref="J41:J44" si="19">+D41*12</f>
        <v>15637.168800000001</v>
      </c>
      <c r="K41" s="127"/>
      <c r="L41" s="124">
        <v>1025.6610000000001</v>
      </c>
      <c r="M41" s="124">
        <v>0</v>
      </c>
      <c r="N41" s="124">
        <v>1025.6610000000001</v>
      </c>
      <c r="P41">
        <f t="shared" ref="P41:P44" si="20">+M41*1.05</f>
        <v>0</v>
      </c>
      <c r="Q41">
        <v>1303.0974000000001</v>
      </c>
    </row>
    <row r="42" spans="1:19" x14ac:dyDescent="0.2">
      <c r="A42" s="127" t="s">
        <v>15</v>
      </c>
      <c r="B42" s="14">
        <v>3028.3995000000004</v>
      </c>
      <c r="C42" s="14">
        <f t="shared" si="16"/>
        <v>0</v>
      </c>
      <c r="D42" s="124">
        <v>3028.3995000000004</v>
      </c>
      <c r="E42" s="124">
        <f>D42+50</f>
        <v>3078.3995000000004</v>
      </c>
      <c r="F42" s="125">
        <f>D42+100</f>
        <v>3128.3995000000004</v>
      </c>
      <c r="G42" s="124"/>
      <c r="H42" s="127">
        <f t="shared" si="17"/>
        <v>36340.794000000009</v>
      </c>
      <c r="I42" s="127">
        <f t="shared" si="18"/>
        <v>0</v>
      </c>
      <c r="J42" s="127">
        <f t="shared" si="19"/>
        <v>36340.794000000009</v>
      </c>
      <c r="K42" s="127"/>
      <c r="L42" s="124">
        <v>2472.904004</v>
      </c>
      <c r="M42" s="124">
        <v>0</v>
      </c>
      <c r="N42" s="124">
        <v>2472.904004</v>
      </c>
      <c r="P42">
        <f t="shared" si="20"/>
        <v>0</v>
      </c>
      <c r="Q42">
        <v>3028.3995000000004</v>
      </c>
      <c r="R42">
        <f>+J42-J41</f>
        <v>20703.625200000009</v>
      </c>
    </row>
    <row r="43" spans="1:19" x14ac:dyDescent="0.2">
      <c r="A43" s="127" t="s">
        <v>16</v>
      </c>
      <c r="B43" s="14">
        <v>2223.2601</v>
      </c>
      <c r="C43" s="14">
        <f t="shared" si="16"/>
        <v>0</v>
      </c>
      <c r="D43" s="124">
        <v>2223.2601</v>
      </c>
      <c r="E43" s="124">
        <f>D43+50</f>
        <v>2273.2601</v>
      </c>
      <c r="F43" s="125">
        <f>D43+100</f>
        <v>2323.2601</v>
      </c>
      <c r="G43" s="124"/>
      <c r="H43" s="127">
        <f t="shared" si="17"/>
        <v>26679.121200000001</v>
      </c>
      <c r="I43" s="127">
        <f t="shared" si="18"/>
        <v>0</v>
      </c>
      <c r="J43" s="127">
        <f t="shared" si="19"/>
        <v>26679.121200000001</v>
      </c>
      <c r="K43" s="127"/>
      <c r="L43" s="124">
        <v>1797.5290475000004</v>
      </c>
      <c r="M43" s="124">
        <v>0</v>
      </c>
      <c r="N43" s="124">
        <v>1797.5290475000004</v>
      </c>
      <c r="P43">
        <f t="shared" si="20"/>
        <v>0</v>
      </c>
      <c r="Q43">
        <v>2223.2601</v>
      </c>
      <c r="R43" s="14">
        <f>+N43-N41</f>
        <v>771.86804750000033</v>
      </c>
      <c r="S43">
        <f>+R43*12</f>
        <v>9262.4165700000049</v>
      </c>
    </row>
    <row r="44" spans="1:19" x14ac:dyDescent="0.2">
      <c r="A44" s="127" t="s">
        <v>17</v>
      </c>
      <c r="B44" s="14">
        <v>3891.0332999999996</v>
      </c>
      <c r="C44" s="14">
        <f t="shared" si="16"/>
        <v>0</v>
      </c>
      <c r="D44" s="124">
        <v>3891.0332999999996</v>
      </c>
      <c r="E44" s="124">
        <f>D44+50</f>
        <v>3941.0332999999996</v>
      </c>
      <c r="F44" s="125">
        <f>D44+100</f>
        <v>3991.0332999999996</v>
      </c>
      <c r="G44" s="124"/>
      <c r="H44" s="127">
        <f t="shared" si="17"/>
        <v>46692.399599999997</v>
      </c>
      <c r="I44" s="127">
        <f t="shared" si="18"/>
        <v>0</v>
      </c>
      <c r="J44" s="127">
        <f t="shared" si="19"/>
        <v>46692.399599999997</v>
      </c>
      <c r="K44" s="127"/>
      <c r="L44" s="124">
        <v>3196.5224764999994</v>
      </c>
      <c r="M44" s="124">
        <v>0</v>
      </c>
      <c r="N44" s="124">
        <v>3196.5224764999994</v>
      </c>
      <c r="P44">
        <f t="shared" si="20"/>
        <v>0</v>
      </c>
      <c r="Q44">
        <v>3891.0332999999996</v>
      </c>
      <c r="R44">
        <f>+J44-J41</f>
        <v>31055.230799999998</v>
      </c>
    </row>
    <row r="45" spans="1:19" x14ac:dyDescent="0.2">
      <c r="B45" s="14"/>
      <c r="C45" s="14"/>
      <c r="D45" s="14"/>
      <c r="E45" s="14"/>
      <c r="F45" s="12"/>
      <c r="G45" s="14"/>
      <c r="H45" s="97">
        <f>+H44-H41</f>
        <v>31055.230799999998</v>
      </c>
      <c r="L45" s="14"/>
      <c r="M45" s="14"/>
      <c r="N45" s="14"/>
    </row>
    <row r="46" spans="1:19" x14ac:dyDescent="0.2">
      <c r="A46" s="2" t="s">
        <v>20</v>
      </c>
      <c r="B46" s="14"/>
      <c r="C46" s="14"/>
      <c r="D46" s="14"/>
      <c r="E46" s="14"/>
      <c r="F46" s="12"/>
      <c r="G46" s="14"/>
      <c r="H46" s="90"/>
      <c r="L46" s="14"/>
      <c r="M46" s="14"/>
      <c r="N46" s="14"/>
    </row>
    <row r="47" spans="1:19" x14ac:dyDescent="0.2">
      <c r="B47" s="14"/>
      <c r="C47" s="14"/>
      <c r="D47" s="14"/>
      <c r="E47" s="14"/>
      <c r="F47" s="12"/>
      <c r="G47" s="14"/>
      <c r="H47" s="90"/>
      <c r="L47" s="14"/>
      <c r="M47" s="14"/>
      <c r="N47" s="14"/>
    </row>
    <row r="48" spans="1:19" x14ac:dyDescent="0.2">
      <c r="A48" s="10" t="s">
        <v>30</v>
      </c>
      <c r="B48" s="14"/>
      <c r="C48" s="14"/>
      <c r="D48" s="14"/>
      <c r="E48" s="14"/>
      <c r="F48" s="12"/>
      <c r="G48" s="14"/>
      <c r="H48" s="90"/>
      <c r="L48" s="14"/>
      <c r="M48" s="14"/>
      <c r="N48" s="14"/>
    </row>
    <row r="49" spans="1:17" x14ac:dyDescent="0.2">
      <c r="A49" t="s">
        <v>11</v>
      </c>
      <c r="B49" s="17">
        <v>1725.3021000000003</v>
      </c>
      <c r="C49" s="14">
        <f t="shared" ref="C49:C51" si="21">+B49-D49</f>
        <v>1151.1698000000004</v>
      </c>
      <c r="D49" s="14">
        <v>574.13229999999999</v>
      </c>
      <c r="E49" s="14">
        <f>D49+50</f>
        <v>624.13229999999999</v>
      </c>
      <c r="F49" s="12">
        <f>D49+100</f>
        <v>674.13229999999999</v>
      </c>
      <c r="G49" s="14"/>
      <c r="H49">
        <f t="shared" ref="H49:H51" si="22">+B49*12</f>
        <v>20703.625200000002</v>
      </c>
      <c r="I49">
        <f t="shared" ref="I49:I51" si="23">+C49*12</f>
        <v>13814.037600000003</v>
      </c>
      <c r="J49">
        <f t="shared" ref="J49:J51" si="24">+D49*12</f>
        <v>6889.5875999999998</v>
      </c>
      <c r="L49" s="17">
        <v>1447.24</v>
      </c>
      <c r="M49" s="17">
        <v>906.07</v>
      </c>
      <c r="N49" s="14">
        <v>541.16999999999996</v>
      </c>
      <c r="O49" s="134">
        <f>+O14-O13</f>
        <v>1725.3021000000003</v>
      </c>
      <c r="P49">
        <f>+M49*1.21</f>
        <v>1096.3447000000001</v>
      </c>
      <c r="Q49" s="134">
        <f>+Q14-Q13</f>
        <v>574.13229999999999</v>
      </c>
    </row>
    <row r="50" spans="1:17" x14ac:dyDescent="0.2">
      <c r="A50" t="s">
        <v>12</v>
      </c>
      <c r="B50" s="17">
        <v>920.16269999999986</v>
      </c>
      <c r="C50" s="14">
        <f t="shared" si="21"/>
        <v>613.95399999999984</v>
      </c>
      <c r="D50" s="14">
        <v>306.20870000000002</v>
      </c>
      <c r="E50" s="14">
        <f>D50+50</f>
        <v>356.20870000000002</v>
      </c>
      <c r="F50" s="12">
        <f>D50+100</f>
        <v>406.20870000000002</v>
      </c>
      <c r="G50" s="14"/>
      <c r="H50">
        <f t="shared" si="22"/>
        <v>11041.952399999998</v>
      </c>
      <c r="I50">
        <f t="shared" si="23"/>
        <v>7367.4479999999985</v>
      </c>
      <c r="J50">
        <f t="shared" si="24"/>
        <v>3674.5044000000003</v>
      </c>
      <c r="L50" s="17">
        <v>771.86999999999989</v>
      </c>
      <c r="M50" s="17">
        <v>479.13</v>
      </c>
      <c r="N50" s="14">
        <v>288.63</v>
      </c>
      <c r="O50" s="134">
        <f>+O15-O13</f>
        <v>920.16269999999986</v>
      </c>
      <c r="P50">
        <f>+M50*1.21</f>
        <v>579.7473</v>
      </c>
      <c r="Q50" s="134">
        <f>+Q15-Q13</f>
        <v>306.20870000000002</v>
      </c>
    </row>
    <row r="51" spans="1:17" x14ac:dyDescent="0.2">
      <c r="A51" t="s">
        <v>13</v>
      </c>
      <c r="B51" s="17">
        <v>2587.9358999999995</v>
      </c>
      <c r="C51" s="14">
        <f t="shared" si="21"/>
        <v>1726.7425999999996</v>
      </c>
      <c r="D51" s="14">
        <v>861.19330000000002</v>
      </c>
      <c r="E51" s="14">
        <f>D51+50</f>
        <v>911.19330000000002</v>
      </c>
      <c r="F51" s="12">
        <f>D51+100</f>
        <v>961.19330000000002</v>
      </c>
      <c r="G51" s="14"/>
      <c r="H51">
        <f t="shared" si="22"/>
        <v>31055.230799999994</v>
      </c>
      <c r="I51">
        <f t="shared" si="23"/>
        <v>20720.911199999995</v>
      </c>
      <c r="J51">
        <f t="shared" si="24"/>
        <v>10334.319600000001</v>
      </c>
      <c r="L51" s="17">
        <v>2170.8599999999997</v>
      </c>
      <c r="M51" s="17">
        <v>1359.1</v>
      </c>
      <c r="N51" s="14">
        <v>811.76</v>
      </c>
      <c r="O51" s="134">
        <f>+O16-O13</f>
        <v>2587.9358999999995</v>
      </c>
      <c r="P51">
        <f>+M51*1.21</f>
        <v>1644.5109999999997</v>
      </c>
      <c r="Q51" s="134">
        <f>+Q16-Q13</f>
        <v>861.19330000000002</v>
      </c>
    </row>
    <row r="52" spans="1:17" x14ac:dyDescent="0.2">
      <c r="B52" s="17"/>
      <c r="C52" s="17"/>
      <c r="D52" s="17"/>
      <c r="F52" s="12"/>
      <c r="G52" s="12"/>
      <c r="L52" s="17"/>
      <c r="M52" s="17"/>
      <c r="N52" s="17"/>
    </row>
    <row r="54" spans="1:17" x14ac:dyDescent="0.2">
      <c r="A54" s="2" t="s">
        <v>99</v>
      </c>
    </row>
    <row r="55" spans="1:17" x14ac:dyDescent="0.2">
      <c r="A55" s="10" t="s">
        <v>30</v>
      </c>
    </row>
    <row r="56" spans="1:17" x14ac:dyDescent="0.2">
      <c r="A56" t="s">
        <v>11</v>
      </c>
      <c r="B56" s="134">
        <v>1725.3021000000003</v>
      </c>
      <c r="C56" s="14">
        <f t="shared" ref="C56:C58" si="25">+B56-D56</f>
        <v>1725.3021000000003</v>
      </c>
      <c r="D56" s="14">
        <v>0</v>
      </c>
      <c r="E56" s="14">
        <f>+D56+50</f>
        <v>50</v>
      </c>
      <c r="F56" s="14">
        <f>+D56+100</f>
        <v>100</v>
      </c>
      <c r="G56" s="14"/>
      <c r="H56">
        <f t="shared" ref="H56:H58" si="26">+B56*12</f>
        <v>20703.625200000002</v>
      </c>
      <c r="I56">
        <f t="shared" ref="I56:I58" si="27">+C56*12</f>
        <v>20703.625200000002</v>
      </c>
      <c r="J56">
        <f t="shared" ref="J56:J58" si="28">+D56*12</f>
        <v>0</v>
      </c>
      <c r="L56" s="85">
        <v>1447.24</v>
      </c>
      <c r="M56" s="14">
        <v>976.82</v>
      </c>
      <c r="N56" s="14">
        <v>0</v>
      </c>
      <c r="O56" s="134">
        <v>1725.3021000000003</v>
      </c>
      <c r="P56">
        <f t="shared" ref="P56:P58" si="29">+M56*1.05</f>
        <v>1025.6610000000001</v>
      </c>
      <c r="Q56">
        <f t="shared" ref="Q56:Q57" si="30">+N56*1.03</f>
        <v>0</v>
      </c>
    </row>
    <row r="57" spans="1:17" x14ac:dyDescent="0.2">
      <c r="A57" t="s">
        <v>12</v>
      </c>
      <c r="B57" s="134">
        <v>920.16269999999986</v>
      </c>
      <c r="C57" s="14">
        <f t="shared" si="25"/>
        <v>920.16269999999986</v>
      </c>
      <c r="D57" s="14">
        <v>0</v>
      </c>
      <c r="G57" s="14"/>
      <c r="H57">
        <f t="shared" si="26"/>
        <v>11041.952399999998</v>
      </c>
      <c r="I57">
        <f t="shared" si="27"/>
        <v>11041.952399999998</v>
      </c>
      <c r="J57">
        <f t="shared" si="28"/>
        <v>0</v>
      </c>
      <c r="L57" s="85">
        <v>771.87</v>
      </c>
      <c r="M57" s="14">
        <v>976.82</v>
      </c>
      <c r="N57" s="14">
        <v>0</v>
      </c>
      <c r="O57" s="134">
        <v>920.16269999999986</v>
      </c>
      <c r="P57">
        <f t="shared" si="29"/>
        <v>1025.6610000000001</v>
      </c>
      <c r="Q57">
        <f t="shared" si="30"/>
        <v>0</v>
      </c>
    </row>
    <row r="58" spans="1:17" x14ac:dyDescent="0.2">
      <c r="A58" t="s">
        <v>13</v>
      </c>
      <c r="B58" s="134">
        <v>2587.9358999999995</v>
      </c>
      <c r="C58" s="14">
        <f t="shared" si="25"/>
        <v>2313.8558999999996</v>
      </c>
      <c r="D58" s="14">
        <v>274.08</v>
      </c>
      <c r="E58" s="14">
        <f>+D58+50</f>
        <v>324.08</v>
      </c>
      <c r="F58" s="14">
        <f>+D58+100</f>
        <v>374.08</v>
      </c>
      <c r="G58" s="14"/>
      <c r="H58">
        <f t="shared" si="26"/>
        <v>31055.230799999994</v>
      </c>
      <c r="I58">
        <f t="shared" si="27"/>
        <v>27766.270799999995</v>
      </c>
      <c r="J58">
        <f t="shared" si="28"/>
        <v>3288.96</v>
      </c>
      <c r="L58" s="85">
        <v>2170.86</v>
      </c>
      <c r="M58" s="14">
        <v>775.31</v>
      </c>
      <c r="N58" s="14">
        <v>525.41</v>
      </c>
      <c r="O58" s="134">
        <v>2587.9358999999995</v>
      </c>
      <c r="P58">
        <f t="shared" si="29"/>
        <v>814.07550000000003</v>
      </c>
      <c r="Q58" s="14">
        <v>274.08</v>
      </c>
    </row>
    <row r="63" spans="1:17" x14ac:dyDescent="0.2">
      <c r="A63" s="114"/>
      <c r="B63" s="121"/>
      <c r="C63" s="121"/>
      <c r="D63" s="121"/>
      <c r="E63" s="121"/>
      <c r="F63" s="121"/>
    </row>
    <row r="64" spans="1:17" x14ac:dyDescent="0.2">
      <c r="A64" s="11"/>
      <c r="B64" s="31"/>
      <c r="C64" s="31"/>
      <c r="D64" s="31"/>
    </row>
    <row r="65" spans="1:243" x14ac:dyDescent="0.2">
      <c r="A65" s="31"/>
      <c r="B65" s="16"/>
      <c r="C65" s="29"/>
      <c r="D65" s="29"/>
      <c r="E65" s="12"/>
      <c r="F65" s="19"/>
      <c r="G65" s="20"/>
      <c r="H65" s="21"/>
      <c r="I65" s="21"/>
      <c r="K65" s="119"/>
      <c r="L65" s="119"/>
      <c r="M65" s="119"/>
      <c r="N65" s="119"/>
    </row>
    <row r="66" spans="1:243" ht="12.75" customHeight="1" x14ac:dyDescent="0.2">
      <c r="A66" s="88"/>
      <c r="B66" s="33"/>
      <c r="C66" s="28"/>
      <c r="D66" s="28"/>
      <c r="E66" s="12"/>
      <c r="F66" s="12"/>
      <c r="G66" s="21"/>
      <c r="H66" s="21"/>
      <c r="I66" s="21"/>
      <c r="K66" s="119"/>
      <c r="L66" s="119"/>
      <c r="M66" s="119"/>
      <c r="N66" s="119"/>
    </row>
    <row r="67" spans="1:243" x14ac:dyDescent="0.2">
      <c r="A67" s="88"/>
      <c r="B67" s="4"/>
      <c r="C67" s="28"/>
      <c r="D67" s="28"/>
      <c r="E67" s="26"/>
      <c r="F67" s="26"/>
      <c r="G67" s="21"/>
      <c r="H67" s="21"/>
      <c r="I67" s="21"/>
      <c r="K67" s="119"/>
      <c r="L67" s="119"/>
      <c r="M67" s="119"/>
      <c r="N67" s="119"/>
    </row>
    <row r="68" spans="1:243" x14ac:dyDescent="0.2">
      <c r="A68" s="88"/>
      <c r="B68" s="4"/>
      <c r="C68" s="28"/>
      <c r="D68" s="28"/>
      <c r="E68" s="21"/>
      <c r="F68" s="21"/>
      <c r="G68" s="21"/>
      <c r="H68" s="21"/>
      <c r="I68" s="21"/>
      <c r="K68" s="119"/>
      <c r="L68" s="119"/>
      <c r="M68" s="119"/>
      <c r="N68" s="119"/>
    </row>
    <row r="69" spans="1:243" x14ac:dyDescent="0.2">
      <c r="A69" s="2"/>
      <c r="B69" s="2"/>
      <c r="C69" s="2"/>
      <c r="D69" s="2"/>
      <c r="E69" s="22"/>
      <c r="F69" s="22"/>
      <c r="G69" s="22"/>
      <c r="H69" s="22"/>
      <c r="I69" s="2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</row>
    <row r="70" spans="1:243" x14ac:dyDescent="0.2">
      <c r="A70" s="2"/>
      <c r="B70" s="2"/>
      <c r="C70" s="2"/>
      <c r="D70" s="2"/>
      <c r="E70" s="22"/>
      <c r="F70" s="22"/>
      <c r="G70" s="22"/>
      <c r="H70" s="22"/>
      <c r="I70" s="2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</row>
    <row r="71" spans="1:243" x14ac:dyDescent="0.2">
      <c r="A71" s="2"/>
      <c r="B71" s="2"/>
      <c r="C71" s="2"/>
      <c r="D71" s="2"/>
      <c r="E71" s="22"/>
      <c r="F71" s="22"/>
      <c r="G71" s="22"/>
      <c r="H71" s="22"/>
      <c r="I71" s="2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</row>
    <row r="72" spans="1:243" x14ac:dyDescent="0.2">
      <c r="E72" s="12"/>
      <c r="F72" s="12"/>
      <c r="G72" s="12"/>
      <c r="H72" s="12"/>
      <c r="I72" s="12"/>
    </row>
    <row r="73" spans="1:243" x14ac:dyDescent="0.2">
      <c r="A73" s="5"/>
      <c r="E73" s="12"/>
      <c r="F73" s="12"/>
      <c r="G73" s="12"/>
      <c r="H73" s="12"/>
      <c r="I73" s="12"/>
    </row>
    <row r="74" spans="1:243" x14ac:dyDescent="0.2">
      <c r="B74" s="14"/>
      <c r="C74" s="14"/>
      <c r="D74" s="14"/>
      <c r="E74" s="14"/>
      <c r="F74" s="14"/>
      <c r="G74" s="12"/>
      <c r="H74" s="12"/>
      <c r="I74" s="12"/>
      <c r="J74" s="7"/>
      <c r="K74" s="7"/>
      <c r="L74" s="7"/>
      <c r="M74" s="7"/>
      <c r="N74" s="7"/>
    </row>
    <row r="75" spans="1:243" x14ac:dyDescent="0.2">
      <c r="B75" s="14"/>
      <c r="C75" s="14"/>
      <c r="D75" s="14"/>
      <c r="E75" s="12"/>
      <c r="F75" s="12"/>
      <c r="G75" s="12"/>
      <c r="H75" s="12"/>
      <c r="I75" s="12"/>
      <c r="J75" s="7"/>
      <c r="K75" s="7"/>
      <c r="L75" s="7"/>
      <c r="M75" s="7"/>
      <c r="N75" s="7"/>
    </row>
    <row r="76" spans="1:243" x14ac:dyDescent="0.2">
      <c r="B76" s="14"/>
      <c r="C76" s="14"/>
      <c r="D76" s="14"/>
      <c r="E76" s="12"/>
      <c r="F76" s="12"/>
      <c r="G76" s="12"/>
      <c r="H76" s="12"/>
      <c r="I76" s="12"/>
      <c r="J76" s="7"/>
      <c r="K76" s="7"/>
      <c r="L76" s="7"/>
      <c r="M76" s="7"/>
      <c r="N76" s="7"/>
    </row>
    <row r="77" spans="1:243" x14ac:dyDescent="0.2">
      <c r="B77" s="14"/>
      <c r="C77" s="14"/>
      <c r="D77" s="14"/>
      <c r="E77" s="12"/>
      <c r="F77" s="12"/>
      <c r="G77" s="12"/>
      <c r="H77" s="12"/>
      <c r="I77" s="12"/>
      <c r="J77" s="7"/>
      <c r="K77" s="7"/>
      <c r="L77" s="7"/>
      <c r="M77" s="7"/>
      <c r="N77" s="7"/>
    </row>
    <row r="78" spans="1:243" x14ac:dyDescent="0.2">
      <c r="B78" s="14"/>
      <c r="C78" s="14"/>
      <c r="D78" s="14"/>
      <c r="E78" s="12"/>
      <c r="F78" s="12"/>
      <c r="G78" s="12"/>
      <c r="H78" s="12"/>
      <c r="I78" s="12"/>
      <c r="J78" s="7"/>
      <c r="K78" s="7"/>
      <c r="L78" s="7"/>
      <c r="M78" s="7"/>
      <c r="N78" s="7"/>
    </row>
    <row r="79" spans="1:243" x14ac:dyDescent="0.2">
      <c r="B79" s="14"/>
      <c r="C79" s="14"/>
      <c r="D79" s="14"/>
      <c r="E79" s="12"/>
      <c r="F79" s="12"/>
      <c r="G79" s="12"/>
      <c r="H79" s="12"/>
      <c r="I79" s="12"/>
    </row>
    <row r="80" spans="1:243" x14ac:dyDescent="0.2">
      <c r="A80" s="2"/>
      <c r="B80" s="14"/>
      <c r="C80" s="14"/>
      <c r="D80" s="14"/>
      <c r="E80" s="12"/>
      <c r="F80" s="12"/>
      <c r="G80" s="12"/>
      <c r="H80" s="12"/>
      <c r="I80" s="12"/>
    </row>
    <row r="81" spans="1:14" x14ac:dyDescent="0.2">
      <c r="A81" s="2"/>
      <c r="B81" s="14"/>
      <c r="C81" s="14"/>
      <c r="D81" s="14"/>
      <c r="E81" s="12"/>
      <c r="F81" s="12"/>
      <c r="G81" s="12"/>
      <c r="H81" s="12"/>
      <c r="I81" s="12"/>
    </row>
    <row r="82" spans="1:14" x14ac:dyDescent="0.2">
      <c r="B82" s="14"/>
      <c r="C82" s="14"/>
      <c r="D82" s="14"/>
      <c r="E82" s="12"/>
      <c r="F82" s="12"/>
      <c r="G82" s="12"/>
      <c r="H82" s="12"/>
      <c r="I82" s="12"/>
    </row>
    <row r="83" spans="1:14" x14ac:dyDescent="0.2">
      <c r="A83" s="5"/>
      <c r="B83" s="14"/>
      <c r="C83" s="14"/>
      <c r="D83" s="14"/>
      <c r="E83" s="12"/>
      <c r="F83" s="12"/>
      <c r="G83" s="12"/>
      <c r="H83" s="12"/>
      <c r="I83" s="12"/>
    </row>
    <row r="84" spans="1:14" x14ac:dyDescent="0.2">
      <c r="B84" s="14"/>
      <c r="C84" s="14"/>
      <c r="D84" s="14"/>
      <c r="E84" s="12"/>
      <c r="F84" s="12"/>
      <c r="G84" s="12"/>
      <c r="H84" s="12"/>
      <c r="I84" s="12"/>
      <c r="J84" s="7"/>
      <c r="K84" s="7"/>
      <c r="L84" s="7"/>
      <c r="M84" s="7"/>
      <c r="N84" s="7"/>
    </row>
    <row r="85" spans="1:14" x14ac:dyDescent="0.2">
      <c r="B85" s="14"/>
      <c r="C85" s="14"/>
      <c r="D85" s="14"/>
      <c r="E85" s="12"/>
      <c r="F85" s="12"/>
      <c r="G85" s="12"/>
      <c r="H85" s="12"/>
      <c r="I85" s="12"/>
      <c r="J85" s="7"/>
      <c r="K85" s="7"/>
      <c r="L85" s="7"/>
      <c r="M85" s="7"/>
      <c r="N85" s="7"/>
    </row>
    <row r="86" spans="1:14" x14ac:dyDescent="0.2">
      <c r="B86" s="14"/>
      <c r="C86" s="14"/>
      <c r="D86" s="14"/>
      <c r="E86" s="12"/>
      <c r="F86" s="12"/>
      <c r="G86" s="12"/>
      <c r="H86" s="12"/>
      <c r="I86" s="12"/>
      <c r="J86" s="7"/>
      <c r="K86" s="7"/>
      <c r="L86" s="7"/>
      <c r="M86" s="7"/>
      <c r="N86" s="7"/>
    </row>
    <row r="87" spans="1:14" x14ac:dyDescent="0.2">
      <c r="B87" s="14"/>
      <c r="C87" s="14"/>
      <c r="D87" s="14"/>
      <c r="E87" s="12"/>
      <c r="F87" s="12"/>
      <c r="G87" s="12"/>
      <c r="H87" s="12"/>
      <c r="I87" s="12"/>
      <c r="J87" s="7"/>
      <c r="K87" s="7"/>
      <c r="L87" s="7"/>
      <c r="M87" s="7"/>
      <c r="N87" s="7"/>
    </row>
    <row r="88" spans="1:14" x14ac:dyDescent="0.2">
      <c r="B88" s="14"/>
      <c r="C88" s="14"/>
      <c r="D88" s="14"/>
      <c r="E88" s="12"/>
      <c r="F88" s="12"/>
      <c r="G88" s="12"/>
      <c r="H88" s="12"/>
      <c r="I88" s="12"/>
      <c r="J88" s="7"/>
      <c r="K88" s="7"/>
      <c r="L88" s="7"/>
      <c r="M88" s="7"/>
      <c r="N88" s="7"/>
    </row>
    <row r="89" spans="1:14" x14ac:dyDescent="0.2">
      <c r="B89" s="14"/>
      <c r="C89" s="14"/>
      <c r="D89" s="14"/>
      <c r="E89" s="12"/>
      <c r="F89" s="12"/>
      <c r="G89" s="12"/>
      <c r="H89" s="12"/>
      <c r="I89" s="12"/>
    </row>
    <row r="90" spans="1:14" x14ac:dyDescent="0.2">
      <c r="A90" s="2"/>
      <c r="B90" s="14"/>
      <c r="C90" s="14"/>
      <c r="D90" s="14"/>
      <c r="E90" s="12"/>
      <c r="F90" s="12"/>
      <c r="G90" s="12"/>
      <c r="H90" s="12"/>
      <c r="I90" s="12"/>
    </row>
    <row r="91" spans="1:14" x14ac:dyDescent="0.2">
      <c r="A91" s="2"/>
      <c r="B91" s="14"/>
      <c r="C91" s="14"/>
      <c r="D91" s="14"/>
      <c r="E91" s="12"/>
      <c r="F91" s="12"/>
      <c r="G91" s="12"/>
      <c r="H91" s="12"/>
      <c r="I91" s="12"/>
    </row>
    <row r="92" spans="1:14" x14ac:dyDescent="0.2">
      <c r="B92" s="14"/>
      <c r="C92" s="14"/>
      <c r="D92" s="14"/>
      <c r="E92" s="12"/>
      <c r="F92" s="12"/>
      <c r="G92" s="12"/>
      <c r="H92" s="12"/>
      <c r="I92" s="12"/>
      <c r="J92" s="7"/>
      <c r="K92" s="7"/>
      <c r="L92" s="7"/>
      <c r="M92" s="7"/>
      <c r="N92" s="7"/>
    </row>
    <row r="93" spans="1:14" ht="12" customHeight="1" x14ac:dyDescent="0.2">
      <c r="A93" s="5"/>
      <c r="B93" s="14"/>
      <c r="C93" s="14"/>
      <c r="D93" s="14"/>
      <c r="E93" s="12"/>
      <c r="F93" s="12"/>
      <c r="G93" s="12"/>
      <c r="H93" s="12"/>
      <c r="I93" s="12"/>
      <c r="J93" s="7"/>
      <c r="K93" s="7"/>
      <c r="L93" s="7"/>
      <c r="M93" s="7"/>
      <c r="N93" s="7"/>
    </row>
    <row r="94" spans="1:14" x14ac:dyDescent="0.2">
      <c r="B94" s="14"/>
      <c r="C94" s="14"/>
      <c r="D94" s="14"/>
      <c r="E94" s="12"/>
      <c r="F94" s="12"/>
      <c r="G94" s="12"/>
      <c r="H94" s="12"/>
      <c r="I94" s="12"/>
      <c r="J94" s="7"/>
      <c r="K94" s="7"/>
      <c r="L94" s="7"/>
      <c r="M94" s="7"/>
      <c r="N94" s="7"/>
    </row>
    <row r="95" spans="1:14" x14ac:dyDescent="0.2">
      <c r="B95" s="14"/>
      <c r="C95" s="14"/>
      <c r="D95" s="14"/>
      <c r="E95" s="12"/>
      <c r="F95" s="12"/>
      <c r="G95" s="12"/>
      <c r="H95" s="12"/>
      <c r="I95" s="12"/>
      <c r="J95" s="7"/>
      <c r="K95" s="7"/>
      <c r="L95" s="7"/>
      <c r="M95" s="7"/>
      <c r="N95" s="7"/>
    </row>
    <row r="96" spans="1:14" x14ac:dyDescent="0.2">
      <c r="B96" s="14"/>
      <c r="C96" s="14"/>
      <c r="D96" s="14"/>
      <c r="E96" s="12"/>
      <c r="F96" s="12"/>
      <c r="G96" s="12"/>
      <c r="H96" s="12"/>
      <c r="I96" s="12"/>
      <c r="J96" s="7"/>
      <c r="K96" s="7"/>
      <c r="L96" s="7"/>
      <c r="M96" s="7"/>
      <c r="N96" s="7"/>
    </row>
    <row r="97" spans="2:14" x14ac:dyDescent="0.2">
      <c r="B97" s="14"/>
      <c r="C97" s="14"/>
      <c r="D97" s="14"/>
      <c r="E97" s="12"/>
      <c r="F97" s="12"/>
      <c r="G97" s="12"/>
      <c r="H97" s="12"/>
      <c r="I97" s="12"/>
      <c r="J97" s="7"/>
      <c r="K97" s="7"/>
      <c r="L97" s="7"/>
      <c r="M97" s="7"/>
      <c r="N97" s="7"/>
    </row>
    <row r="98" spans="2:14" x14ac:dyDescent="0.2">
      <c r="B98" s="14"/>
      <c r="C98" s="14"/>
      <c r="D98" s="14"/>
      <c r="E98" s="12"/>
      <c r="F98" s="12"/>
      <c r="G98" s="12"/>
      <c r="H98" s="12"/>
      <c r="I98" s="12"/>
      <c r="J98" s="7"/>
      <c r="K98" s="7"/>
      <c r="L98" s="7"/>
      <c r="M98" s="7"/>
      <c r="N98" s="7"/>
    </row>
  </sheetData>
  <mergeCells count="5">
    <mergeCell ref="A1:F1"/>
    <mergeCell ref="A2:F2"/>
    <mergeCell ref="A3:F3"/>
    <mergeCell ref="E5:F5"/>
    <mergeCell ref="B4:D4"/>
  </mergeCells>
  <pageMargins left="0.5" right="0.5" top="0.5" bottom="0.25" header="0.5" footer="0.5"/>
  <pageSetup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5"/>
  <sheetViews>
    <sheetView workbookViewId="0">
      <pane ySplit="5" topLeftCell="A6" activePane="bottomLeft" state="frozen"/>
      <selection pane="bottomLeft" activeCell="G44" sqref="G44"/>
    </sheetView>
  </sheetViews>
  <sheetFormatPr defaultColWidth="8.85546875" defaultRowHeight="12.75" x14ac:dyDescent="0.2"/>
  <cols>
    <col min="1" max="1" width="28.7109375" customWidth="1"/>
    <col min="2" max="2" width="9.28515625" bestFit="1" customWidth="1"/>
    <col min="3" max="3" width="12.42578125" bestFit="1" customWidth="1"/>
    <col min="4" max="4" width="12.5703125" bestFit="1" customWidth="1"/>
    <col min="5" max="6" width="12.5703125" customWidth="1"/>
    <col min="7" max="7" width="17" bestFit="1" customWidth="1"/>
    <col min="8" max="8" width="26.42578125" bestFit="1" customWidth="1"/>
    <col min="9" max="9" width="11.140625" customWidth="1"/>
    <col min="10" max="10" width="12.5703125" bestFit="1" customWidth="1"/>
    <col min="11" max="12" width="12.42578125" bestFit="1" customWidth="1"/>
    <col min="14" max="14" width="10.7109375" customWidth="1"/>
  </cols>
  <sheetData>
    <row r="1" spans="1:16" ht="30" customHeight="1" x14ac:dyDescent="0.25">
      <c r="A1" s="1" t="s">
        <v>120</v>
      </c>
    </row>
    <row r="2" spans="1:16" ht="18" customHeight="1" x14ac:dyDescent="0.25">
      <c r="A2" s="147" t="s">
        <v>100</v>
      </c>
      <c r="B2" s="147"/>
      <c r="C2" s="147"/>
      <c r="D2" s="147"/>
      <c r="E2" s="147"/>
      <c r="J2" s="1"/>
      <c r="K2" s="1"/>
      <c r="L2" s="1"/>
    </row>
    <row r="3" spans="1:16" ht="18" customHeight="1" x14ac:dyDescent="0.25">
      <c r="A3" s="1"/>
      <c r="B3" s="156" t="s">
        <v>27</v>
      </c>
      <c r="C3" s="156"/>
      <c r="D3" s="156"/>
      <c r="E3" s="30"/>
      <c r="F3" s="30"/>
      <c r="H3" s="160" t="s">
        <v>101</v>
      </c>
      <c r="I3" s="160"/>
      <c r="J3" s="160"/>
      <c r="K3" s="160"/>
      <c r="L3" s="1"/>
    </row>
    <row r="4" spans="1:16" ht="18" customHeight="1" x14ac:dyDescent="0.2">
      <c r="B4" s="4">
        <v>2025</v>
      </c>
      <c r="C4" s="122">
        <v>2025</v>
      </c>
      <c r="D4" s="122">
        <v>2025</v>
      </c>
      <c r="E4" s="89"/>
      <c r="F4" s="4"/>
      <c r="G4" s="4"/>
      <c r="H4" s="4"/>
      <c r="I4" s="4"/>
      <c r="J4" s="4"/>
      <c r="K4" s="4"/>
      <c r="L4" s="4"/>
      <c r="N4" s="4"/>
      <c r="O4" s="4"/>
      <c r="P4" s="4"/>
    </row>
    <row r="5" spans="1:16" ht="18" customHeight="1" x14ac:dyDescent="0.25">
      <c r="A5" s="3" t="s">
        <v>0</v>
      </c>
      <c r="B5" s="4" t="s">
        <v>2</v>
      </c>
      <c r="C5" s="4" t="s">
        <v>3</v>
      </c>
      <c r="D5" s="4" t="s">
        <v>8</v>
      </c>
      <c r="E5" s="110" t="s">
        <v>8</v>
      </c>
      <c r="F5" s="110" t="s">
        <v>3</v>
      </c>
      <c r="G5" s="110" t="s">
        <v>2</v>
      </c>
      <c r="H5" s="3" t="s">
        <v>0</v>
      </c>
      <c r="I5" s="91" t="s">
        <v>2</v>
      </c>
      <c r="J5" s="91" t="s">
        <v>3</v>
      </c>
      <c r="K5" s="91" t="s">
        <v>8</v>
      </c>
      <c r="L5" s="120" t="s">
        <v>2</v>
      </c>
      <c r="M5" s="120" t="s">
        <v>3</v>
      </c>
      <c r="N5" s="120" t="s">
        <v>8</v>
      </c>
      <c r="O5" s="4"/>
      <c r="P5" s="4"/>
    </row>
    <row r="6" spans="1:16" x14ac:dyDescent="0.2">
      <c r="B6" s="2" t="s">
        <v>1</v>
      </c>
      <c r="C6" s="2" t="s">
        <v>4</v>
      </c>
      <c r="D6" s="4" t="s">
        <v>4</v>
      </c>
      <c r="E6" s="89" t="s">
        <v>107</v>
      </c>
      <c r="F6" s="4" t="s">
        <v>107</v>
      </c>
      <c r="G6" s="4" t="s">
        <v>107</v>
      </c>
      <c r="I6" s="2" t="s">
        <v>1</v>
      </c>
      <c r="J6" s="2" t="s">
        <v>4</v>
      </c>
      <c r="K6" s="91" t="s">
        <v>4</v>
      </c>
      <c r="L6" s="2" t="s">
        <v>112</v>
      </c>
      <c r="M6" s="2" t="s">
        <v>107</v>
      </c>
      <c r="N6" s="120" t="s">
        <v>107</v>
      </c>
      <c r="O6" s="2"/>
      <c r="P6" s="4"/>
    </row>
    <row r="7" spans="1:16" x14ac:dyDescent="0.2">
      <c r="A7" s="2" t="s">
        <v>5</v>
      </c>
      <c r="B7" s="2"/>
      <c r="C7" s="2"/>
      <c r="D7" s="4"/>
      <c r="E7" s="4"/>
      <c r="F7" s="4"/>
      <c r="G7" s="4"/>
      <c r="H7" s="2" t="s">
        <v>5</v>
      </c>
      <c r="I7" s="2"/>
      <c r="J7" s="2"/>
      <c r="K7" s="91"/>
      <c r="L7" s="4"/>
      <c r="N7" s="2"/>
      <c r="O7" s="2"/>
      <c r="P7" s="4"/>
    </row>
    <row r="8" spans="1:16" x14ac:dyDescent="0.2">
      <c r="A8" s="2" t="s">
        <v>6</v>
      </c>
      <c r="B8" s="2"/>
      <c r="C8" s="2"/>
      <c r="D8" s="2"/>
      <c r="E8" s="2"/>
      <c r="F8" s="2"/>
      <c r="G8" s="4"/>
      <c r="H8" s="2" t="s">
        <v>6</v>
      </c>
      <c r="I8" s="2"/>
      <c r="J8" s="2"/>
      <c r="K8" s="2"/>
      <c r="L8" s="4"/>
      <c r="N8" s="2"/>
      <c r="P8" s="4"/>
    </row>
    <row r="9" spans="1:16" x14ac:dyDescent="0.2">
      <c r="A9" s="2" t="s">
        <v>7</v>
      </c>
      <c r="B9" s="2"/>
      <c r="C9" s="2"/>
      <c r="D9" s="4"/>
      <c r="E9" s="4"/>
      <c r="F9" s="4"/>
      <c r="G9" s="4"/>
      <c r="H9" s="2" t="s">
        <v>7</v>
      </c>
      <c r="I9" s="2"/>
      <c r="J9" s="2"/>
      <c r="K9" s="91"/>
      <c r="L9" s="4"/>
      <c r="N9" s="2"/>
      <c r="O9" s="2"/>
      <c r="P9" s="4"/>
    </row>
    <row r="10" spans="1:16" x14ac:dyDescent="0.2">
      <c r="B10" s="2"/>
      <c r="C10" s="2"/>
      <c r="D10" s="4"/>
      <c r="E10" s="4"/>
      <c r="F10" s="4"/>
      <c r="G10" s="4"/>
      <c r="I10" s="2"/>
      <c r="J10" s="2"/>
      <c r="K10" s="91"/>
      <c r="L10" s="4"/>
      <c r="N10" s="2"/>
      <c r="O10" s="2"/>
      <c r="P10" s="4"/>
    </row>
    <row r="11" spans="1:16" x14ac:dyDescent="0.2">
      <c r="A11" s="10" t="s">
        <v>24</v>
      </c>
      <c r="H11" s="10" t="s">
        <v>24</v>
      </c>
    </row>
    <row r="12" spans="1:16" x14ac:dyDescent="0.2">
      <c r="A12" t="s">
        <v>14</v>
      </c>
      <c r="B12" s="14">
        <v>200.6</v>
      </c>
      <c r="C12" s="14">
        <f>B12</f>
        <v>200.6</v>
      </c>
      <c r="D12" s="14">
        <f>B12-C12</f>
        <v>0</v>
      </c>
      <c r="E12" s="14">
        <f>+D12*12</f>
        <v>0</v>
      </c>
      <c r="F12" s="14">
        <f>+C12*12</f>
        <v>2407.1999999999998</v>
      </c>
      <c r="G12" s="7">
        <f>+B12*12</f>
        <v>2407.1999999999998</v>
      </c>
      <c r="H12" t="s">
        <v>14</v>
      </c>
      <c r="I12" s="14">
        <f>C12+170.1</f>
        <v>370.7</v>
      </c>
      <c r="J12" s="14">
        <f>C12</f>
        <v>200.6</v>
      </c>
      <c r="K12" s="14">
        <v>170.1</v>
      </c>
      <c r="L12" s="7">
        <f>+I12*12</f>
        <v>4448.3999999999996</v>
      </c>
      <c r="M12">
        <f>+J12*12</f>
        <v>2407.1999999999998</v>
      </c>
      <c r="N12" s="6">
        <f>+K12*12</f>
        <v>2041.1999999999998</v>
      </c>
      <c r="O12" s="7"/>
      <c r="P12" s="8"/>
    </row>
    <row r="13" spans="1:16" x14ac:dyDescent="0.2">
      <c r="A13" t="s">
        <v>15</v>
      </c>
      <c r="B13" s="14">
        <f>B12*2</f>
        <v>401.2</v>
      </c>
      <c r="C13" s="14">
        <f>+B13-D13</f>
        <v>261.12</v>
      </c>
      <c r="D13" s="14">
        <v>140.08000000000001</v>
      </c>
      <c r="E13" s="14">
        <f t="shared" ref="E13:E15" si="0">+D13*12</f>
        <v>1680.96</v>
      </c>
      <c r="F13" s="14">
        <f t="shared" ref="F13:F15" si="1">+C13*12</f>
        <v>3133.44</v>
      </c>
      <c r="G13" s="7">
        <f t="shared" ref="G13:G15" si="2">+B13*12</f>
        <v>4814.3999999999996</v>
      </c>
      <c r="H13" t="s">
        <v>15</v>
      </c>
      <c r="I13" s="14">
        <f>I12*2</f>
        <v>741.4</v>
      </c>
      <c r="J13" s="14">
        <f>+I13-K13</f>
        <v>261.12</v>
      </c>
      <c r="K13" s="14">
        <f>+D13+170.1+170.1</f>
        <v>480.28</v>
      </c>
      <c r="L13" s="7">
        <f t="shared" ref="L13:L15" si="3">+I13*12</f>
        <v>8896.7999999999993</v>
      </c>
      <c r="M13">
        <f t="shared" ref="M13:M15" si="4">+J13*12</f>
        <v>3133.44</v>
      </c>
      <c r="N13" s="6">
        <f>+K13*12</f>
        <v>5763.36</v>
      </c>
      <c r="O13" s="7"/>
      <c r="P13" s="6"/>
    </row>
    <row r="14" spans="1:16" x14ac:dyDescent="0.2">
      <c r="A14" t="s">
        <v>18</v>
      </c>
      <c r="B14" s="14">
        <f>$B$12*2</f>
        <v>401.2</v>
      </c>
      <c r="C14" s="14">
        <f>+B14-D14</f>
        <v>261.12</v>
      </c>
      <c r="D14" s="14">
        <v>140.08000000000001</v>
      </c>
      <c r="E14" s="14">
        <f t="shared" si="0"/>
        <v>1680.96</v>
      </c>
      <c r="F14" s="14">
        <f t="shared" si="1"/>
        <v>3133.44</v>
      </c>
      <c r="G14" s="7">
        <f t="shared" si="2"/>
        <v>4814.3999999999996</v>
      </c>
      <c r="H14" t="s">
        <v>18</v>
      </c>
      <c r="I14" s="14">
        <f>$I$12*2</f>
        <v>741.4</v>
      </c>
      <c r="J14" s="14">
        <f>+I14-K14</f>
        <v>261.12</v>
      </c>
      <c r="K14" s="14">
        <f>+D14+170.1+170.1</f>
        <v>480.28</v>
      </c>
      <c r="L14" s="7">
        <f t="shared" si="3"/>
        <v>8896.7999999999993</v>
      </c>
      <c r="M14">
        <f t="shared" si="4"/>
        <v>3133.44</v>
      </c>
      <c r="N14" s="6">
        <f>+K14*12</f>
        <v>5763.36</v>
      </c>
      <c r="O14" s="7"/>
      <c r="P14" s="6"/>
    </row>
    <row r="15" spans="1:16" x14ac:dyDescent="0.2">
      <c r="A15" s="9" t="s">
        <v>21</v>
      </c>
      <c r="B15" s="14">
        <f>$B$12*3</f>
        <v>601.79999999999995</v>
      </c>
      <c r="C15" s="14">
        <f>+B15-D15</f>
        <v>321.28999999999996</v>
      </c>
      <c r="D15" s="14">
        <v>280.51</v>
      </c>
      <c r="E15" s="14">
        <f t="shared" si="0"/>
        <v>3366.12</v>
      </c>
      <c r="F15" s="14">
        <f t="shared" si="1"/>
        <v>3855.4799999999996</v>
      </c>
      <c r="G15" s="7">
        <f t="shared" si="2"/>
        <v>7221.5999999999995</v>
      </c>
      <c r="H15" s="9" t="s">
        <v>21</v>
      </c>
      <c r="I15" s="14">
        <f>$I$12*3</f>
        <v>1112.0999999999999</v>
      </c>
      <c r="J15" s="14">
        <f>+I15-K15</f>
        <v>321.28999999999985</v>
      </c>
      <c r="K15" s="14">
        <f>+D15+170.1+170.1+170.1</f>
        <v>790.81000000000006</v>
      </c>
      <c r="L15" s="7">
        <f t="shared" si="3"/>
        <v>13345.199999999999</v>
      </c>
      <c r="M15">
        <f t="shared" si="4"/>
        <v>3855.4799999999982</v>
      </c>
      <c r="N15" s="6">
        <f>+K15*12</f>
        <v>9489.7200000000012</v>
      </c>
      <c r="O15" s="7"/>
      <c r="P15" s="6"/>
    </row>
    <row r="16" spans="1:16" x14ac:dyDescent="0.2">
      <c r="B16" s="14"/>
      <c r="C16" s="14"/>
      <c r="D16" s="14"/>
      <c r="E16" s="14"/>
      <c r="F16" s="14"/>
      <c r="G16" s="7"/>
      <c r="H16" s="7"/>
      <c r="I16" s="14"/>
      <c r="J16" s="14"/>
      <c r="K16" s="14"/>
      <c r="L16" s="7"/>
      <c r="N16" s="6"/>
      <c r="O16" s="7"/>
      <c r="P16" s="6"/>
    </row>
    <row r="17" spans="1:16" x14ac:dyDescent="0.2">
      <c r="B17" s="14"/>
      <c r="C17" s="14"/>
      <c r="D17" s="14"/>
      <c r="E17" s="14"/>
      <c r="F17" s="14"/>
      <c r="G17" s="7"/>
      <c r="H17" s="7" t="s">
        <v>11</v>
      </c>
      <c r="I17" s="14">
        <f>+B12+170.1</f>
        <v>370.7</v>
      </c>
      <c r="J17" s="14">
        <f>+C12-D13</f>
        <v>60.519999999999982</v>
      </c>
      <c r="K17" s="7">
        <f>+I17-J17</f>
        <v>310.18</v>
      </c>
      <c r="L17">
        <f>+I17*12</f>
        <v>4448.3999999999996</v>
      </c>
      <c r="M17">
        <f>+J17*12</f>
        <v>726.23999999999978</v>
      </c>
      <c r="N17">
        <f>+K17*12</f>
        <v>3722.16</v>
      </c>
    </row>
    <row r="18" spans="1:16" x14ac:dyDescent="0.2">
      <c r="B18" s="14"/>
      <c r="C18" s="14"/>
      <c r="D18" s="14"/>
      <c r="E18" s="14"/>
      <c r="F18" s="14"/>
      <c r="G18" s="7"/>
      <c r="H18" s="7"/>
      <c r="I18" s="14"/>
      <c r="J18" s="14"/>
      <c r="K18" s="14"/>
      <c r="L18" s="7"/>
    </row>
    <row r="19" spans="1:16" x14ac:dyDescent="0.2">
      <c r="A19" s="2" t="s">
        <v>6</v>
      </c>
      <c r="B19" s="14"/>
      <c r="C19" s="14"/>
      <c r="D19" s="14"/>
      <c r="E19" s="14"/>
      <c r="F19" s="14"/>
      <c r="G19" s="7"/>
      <c r="H19" s="7" t="s">
        <v>102</v>
      </c>
      <c r="I19" s="14">
        <f>+B14+170.1</f>
        <v>571.29999999999995</v>
      </c>
      <c r="J19" s="14">
        <f>+I19-K19</f>
        <v>261.11999999999995</v>
      </c>
      <c r="K19" s="14">
        <f>+D13+170.1</f>
        <v>310.18</v>
      </c>
      <c r="L19" s="7">
        <f>+I19*12</f>
        <v>6855.5999999999995</v>
      </c>
      <c r="M19">
        <f>+J19*12</f>
        <v>3133.4399999999996</v>
      </c>
      <c r="N19">
        <f>+K19*12</f>
        <v>3722.16</v>
      </c>
    </row>
    <row r="20" spans="1:16" x14ac:dyDescent="0.2">
      <c r="A20" s="2" t="s">
        <v>9</v>
      </c>
      <c r="B20" s="14"/>
      <c r="C20" s="14"/>
      <c r="D20" s="14"/>
      <c r="E20" s="14"/>
      <c r="F20" s="14"/>
      <c r="G20" s="7"/>
      <c r="H20" s="7"/>
      <c r="I20" s="14"/>
      <c r="J20" s="14"/>
      <c r="K20" s="14"/>
      <c r="L20" s="7"/>
    </row>
    <row r="21" spans="1:16" x14ac:dyDescent="0.2">
      <c r="A21" s="2"/>
      <c r="B21" s="14"/>
      <c r="C21" s="14"/>
      <c r="D21" s="14"/>
      <c r="E21" s="14"/>
      <c r="F21" s="14"/>
      <c r="G21" s="7"/>
      <c r="H21" s="7"/>
      <c r="I21" s="14"/>
      <c r="J21" s="14"/>
      <c r="K21" s="14"/>
      <c r="L21" s="7"/>
    </row>
    <row r="22" spans="1:16" x14ac:dyDescent="0.2">
      <c r="A22" s="10" t="s">
        <v>24</v>
      </c>
      <c r="B22" s="14"/>
      <c r="C22" s="14"/>
      <c r="D22" s="14"/>
      <c r="E22" s="14"/>
      <c r="F22" s="14"/>
      <c r="G22" s="7"/>
      <c r="H22" s="7"/>
      <c r="I22" s="14"/>
      <c r="J22" s="14"/>
      <c r="K22" s="14"/>
      <c r="L22" s="7"/>
    </row>
    <row r="23" spans="1:16" x14ac:dyDescent="0.2">
      <c r="A23" t="s">
        <v>14</v>
      </c>
      <c r="B23" s="14">
        <f>B12</f>
        <v>200.6</v>
      </c>
      <c r="C23" s="14">
        <f>+B23-D23</f>
        <v>136.38</v>
      </c>
      <c r="D23" s="14">
        <v>64.22</v>
      </c>
      <c r="E23" s="14">
        <f>+D23*12</f>
        <v>770.64</v>
      </c>
      <c r="F23" s="14">
        <f>+C23*12</f>
        <v>1636.56</v>
      </c>
      <c r="G23" s="7">
        <f>+B23*12</f>
        <v>2407.1999999999998</v>
      </c>
      <c r="K23" s="14"/>
      <c r="L23" s="7"/>
      <c r="N23" s="6"/>
      <c r="O23" s="6"/>
      <c r="P23" s="6"/>
    </row>
    <row r="24" spans="1:16" x14ac:dyDescent="0.2">
      <c r="A24" t="s">
        <v>15</v>
      </c>
      <c r="B24" s="14">
        <f>$B$12*2</f>
        <v>401.2</v>
      </c>
      <c r="C24" s="14">
        <f>+B24-D24</f>
        <v>219.86999999999998</v>
      </c>
      <c r="D24" s="14">
        <v>181.33</v>
      </c>
      <c r="E24" s="14">
        <f t="shared" ref="E24:E26" si="5">+D24*12</f>
        <v>2175.96</v>
      </c>
      <c r="F24" s="14">
        <f t="shared" ref="F24:F26" si="6">+C24*12</f>
        <v>2638.4399999999996</v>
      </c>
      <c r="G24" s="7">
        <f t="shared" ref="G24:G26" si="7">+B24*12</f>
        <v>4814.3999999999996</v>
      </c>
      <c r="H24" s="7">
        <f>+E24-E23</f>
        <v>1405.3200000000002</v>
      </c>
      <c r="I24" s="14">
        <f>+F24-F23</f>
        <v>1001.8799999999997</v>
      </c>
      <c r="J24" s="14">
        <f>+G24-G23</f>
        <v>2407.1999999999998</v>
      </c>
      <c r="K24" s="14"/>
      <c r="L24" s="7"/>
      <c r="N24" s="6"/>
      <c r="O24" s="6"/>
      <c r="P24" s="6"/>
    </row>
    <row r="25" spans="1:16" x14ac:dyDescent="0.2">
      <c r="A25" t="s">
        <v>18</v>
      </c>
      <c r="B25" s="14">
        <f>$B$12*2</f>
        <v>401.2</v>
      </c>
      <c r="C25" s="14">
        <f>+B25-D25</f>
        <v>219.86999999999998</v>
      </c>
      <c r="D25" s="14">
        <v>181.33</v>
      </c>
      <c r="E25" s="14">
        <f t="shared" si="5"/>
        <v>2175.96</v>
      </c>
      <c r="F25" s="14">
        <f t="shared" si="6"/>
        <v>2638.4399999999996</v>
      </c>
      <c r="G25" s="7">
        <f t="shared" si="7"/>
        <v>4814.3999999999996</v>
      </c>
      <c r="H25" s="7">
        <f>+E25-E23</f>
        <v>1405.3200000000002</v>
      </c>
      <c r="I25" s="14">
        <f>+F25-F23</f>
        <v>1001.8799999999997</v>
      </c>
      <c r="J25" s="14">
        <f>+G25-G23</f>
        <v>2407.1999999999998</v>
      </c>
      <c r="K25" s="14"/>
      <c r="L25" s="7"/>
      <c r="N25" s="6"/>
      <c r="O25" s="6"/>
      <c r="P25" s="6"/>
    </row>
    <row r="26" spans="1:16" x14ac:dyDescent="0.2">
      <c r="A26" s="9" t="s">
        <v>21</v>
      </c>
      <c r="B26" s="14">
        <f>$B$12*3</f>
        <v>601.79999999999995</v>
      </c>
      <c r="C26" s="14">
        <f>+B26-D26</f>
        <v>303.35999999999996</v>
      </c>
      <c r="D26" s="14">
        <v>298.44</v>
      </c>
      <c r="E26" s="14">
        <f t="shared" si="5"/>
        <v>3581.2799999999997</v>
      </c>
      <c r="F26" s="14">
        <f t="shared" si="6"/>
        <v>3640.3199999999997</v>
      </c>
      <c r="G26" s="7">
        <f t="shared" si="7"/>
        <v>7221.5999999999995</v>
      </c>
      <c r="H26" s="7">
        <f>+E26-E23</f>
        <v>2810.64</v>
      </c>
      <c r="I26" s="14">
        <f>+F26-F23</f>
        <v>2003.7599999999998</v>
      </c>
      <c r="J26" s="14">
        <f>+G26-G23</f>
        <v>4814.3999999999996</v>
      </c>
      <c r="K26" s="14"/>
      <c r="L26" s="7"/>
      <c r="N26" s="6"/>
      <c r="O26" s="6"/>
      <c r="P26" s="6"/>
    </row>
    <row r="27" spans="1:16" x14ac:dyDescent="0.2">
      <c r="B27" s="14"/>
      <c r="C27" s="14"/>
      <c r="D27" s="14"/>
      <c r="E27" s="14"/>
      <c r="F27" s="14"/>
      <c r="G27" s="7"/>
      <c r="H27" s="7"/>
      <c r="I27" s="14"/>
      <c r="J27" s="14"/>
      <c r="K27" s="14"/>
      <c r="L27" s="7"/>
    </row>
    <row r="28" spans="1:16" x14ac:dyDescent="0.2">
      <c r="B28" s="14"/>
      <c r="C28" s="14"/>
      <c r="D28" s="14"/>
      <c r="E28" s="14">
        <f>+E25-E23</f>
        <v>1405.3200000000002</v>
      </c>
      <c r="F28" s="14">
        <f>+F24-F23</f>
        <v>1001.8799999999997</v>
      </c>
      <c r="G28" s="7">
        <f>+G24-G23</f>
        <v>2407.1999999999998</v>
      </c>
      <c r="H28" s="7"/>
      <c r="I28" s="14"/>
      <c r="J28" s="14"/>
      <c r="K28" s="14"/>
      <c r="L28" s="7"/>
    </row>
    <row r="29" spans="1:16" x14ac:dyDescent="0.2">
      <c r="B29" s="14"/>
      <c r="C29" s="14"/>
      <c r="D29" s="14"/>
      <c r="E29" s="14">
        <f>+E26-E23</f>
        <v>2810.64</v>
      </c>
      <c r="F29" s="14">
        <f>+F26-F23</f>
        <v>2003.7599999999998</v>
      </c>
      <c r="G29" s="7">
        <f>+G26-G23</f>
        <v>4814.3999999999996</v>
      </c>
      <c r="H29" s="7"/>
      <c r="I29" s="14"/>
      <c r="J29" s="14"/>
      <c r="K29" s="14"/>
      <c r="L29" s="7"/>
    </row>
    <row r="30" spans="1:16" x14ac:dyDescent="0.2">
      <c r="A30" s="2" t="s">
        <v>6</v>
      </c>
      <c r="B30" s="14"/>
      <c r="C30" s="14"/>
      <c r="D30" s="14"/>
      <c r="E30" s="14"/>
      <c r="F30" s="14"/>
      <c r="G30" s="7"/>
      <c r="H30" s="7"/>
      <c r="I30" s="14"/>
      <c r="J30" s="14"/>
      <c r="K30" s="14"/>
      <c r="L30" s="7"/>
    </row>
    <row r="31" spans="1:16" x14ac:dyDescent="0.2">
      <c r="A31" s="2" t="s">
        <v>10</v>
      </c>
      <c r="B31" s="14"/>
      <c r="C31" s="14"/>
      <c r="D31" s="14"/>
      <c r="E31" s="14"/>
      <c r="F31" s="14"/>
      <c r="G31" s="7"/>
      <c r="H31" s="7"/>
      <c r="I31" s="14"/>
      <c r="J31" s="14"/>
      <c r="K31" s="14"/>
      <c r="L31" s="7"/>
    </row>
    <row r="32" spans="1:16" x14ac:dyDescent="0.2">
      <c r="B32" s="14"/>
      <c r="C32" s="14"/>
      <c r="D32" s="14"/>
      <c r="E32" s="14"/>
      <c r="F32" s="14"/>
      <c r="G32" s="7"/>
      <c r="H32" s="7"/>
      <c r="I32" s="14"/>
      <c r="J32" s="14"/>
      <c r="K32" s="14"/>
      <c r="L32" s="7"/>
    </row>
    <row r="33" spans="1:16" x14ac:dyDescent="0.2">
      <c r="A33" s="10" t="s">
        <v>24</v>
      </c>
      <c r="B33" s="14"/>
      <c r="C33" s="14"/>
      <c r="D33" s="14"/>
      <c r="E33" s="14"/>
      <c r="F33" s="14"/>
      <c r="I33" s="14"/>
      <c r="J33" s="14"/>
      <c r="K33" s="14"/>
    </row>
    <row r="34" spans="1:16" x14ac:dyDescent="0.2">
      <c r="A34" t="s">
        <v>14</v>
      </c>
      <c r="B34" s="14">
        <f>B12</f>
        <v>200.6</v>
      </c>
      <c r="C34" s="14">
        <v>64.22</v>
      </c>
      <c r="D34" s="14">
        <v>136.38</v>
      </c>
      <c r="E34" s="14">
        <f>+D34*12</f>
        <v>1636.56</v>
      </c>
      <c r="F34" s="14">
        <f>+C34*12</f>
        <v>770.64</v>
      </c>
      <c r="G34" s="7">
        <f>+B34*12</f>
        <v>2407.1999999999998</v>
      </c>
      <c r="H34" s="7"/>
      <c r="I34" s="14"/>
      <c r="J34" s="14"/>
      <c r="K34" s="14"/>
      <c r="L34" s="7"/>
      <c r="N34" s="6"/>
      <c r="O34" s="6"/>
      <c r="P34" s="6"/>
    </row>
    <row r="35" spans="1:16" x14ac:dyDescent="0.2">
      <c r="A35" t="s">
        <v>15</v>
      </c>
      <c r="B35" s="14">
        <f>B34*2</f>
        <v>401.2</v>
      </c>
      <c r="C35" s="14">
        <f>+B35-D35</f>
        <v>168.86999999999998</v>
      </c>
      <c r="D35" s="14">
        <v>232.33</v>
      </c>
      <c r="E35" s="14">
        <f t="shared" ref="E35:E37" si="8">+D35*12</f>
        <v>2787.96</v>
      </c>
      <c r="F35" s="14">
        <f t="shared" ref="F35:F37" si="9">+C35*12</f>
        <v>2026.4399999999996</v>
      </c>
      <c r="G35" s="7">
        <f t="shared" ref="G35:G37" si="10">+B35*12</f>
        <v>4814.3999999999996</v>
      </c>
      <c r="H35" s="7">
        <f>+E35-E34</f>
        <v>1151.4000000000001</v>
      </c>
      <c r="I35" s="14">
        <f>+F35-F34</f>
        <v>1255.7999999999997</v>
      </c>
      <c r="J35" s="14">
        <f>+G35-G34</f>
        <v>2407.1999999999998</v>
      </c>
      <c r="K35" s="14"/>
      <c r="L35" s="7">
        <f>232.33-136.38</f>
        <v>95.950000000000017</v>
      </c>
      <c r="N35" s="6"/>
      <c r="O35" s="6"/>
      <c r="P35" s="6"/>
    </row>
    <row r="36" spans="1:16" x14ac:dyDescent="0.2">
      <c r="A36" t="s">
        <v>18</v>
      </c>
      <c r="B36" s="14">
        <f>$B$12*2</f>
        <v>401.2</v>
      </c>
      <c r="C36" s="14">
        <f>+B36-D36</f>
        <v>168.86999999999998</v>
      </c>
      <c r="D36" s="14">
        <v>232.33</v>
      </c>
      <c r="E36" s="14">
        <f t="shared" si="8"/>
        <v>2787.96</v>
      </c>
      <c r="F36" s="14">
        <f t="shared" si="9"/>
        <v>2026.4399999999996</v>
      </c>
      <c r="G36" s="7">
        <f t="shared" si="10"/>
        <v>4814.3999999999996</v>
      </c>
      <c r="H36" s="7">
        <f>+E36-E34</f>
        <v>1151.4000000000001</v>
      </c>
      <c r="I36" s="14">
        <f>+F36-F34</f>
        <v>1255.7999999999997</v>
      </c>
      <c r="J36" s="14">
        <f>+G36-G34</f>
        <v>2407.1999999999998</v>
      </c>
      <c r="K36" s="14"/>
      <c r="L36" s="7">
        <f>168.87-64.22</f>
        <v>104.65</v>
      </c>
      <c r="N36" s="6"/>
      <c r="O36" s="6"/>
      <c r="P36" s="6"/>
    </row>
    <row r="37" spans="1:16" x14ac:dyDescent="0.2">
      <c r="A37" s="9" t="s">
        <v>21</v>
      </c>
      <c r="B37" s="14">
        <f>$B$12*3</f>
        <v>601.79999999999995</v>
      </c>
      <c r="C37" s="14">
        <f>+B37-D37</f>
        <v>261.79999999999995</v>
      </c>
      <c r="D37" s="14">
        <v>340</v>
      </c>
      <c r="E37" s="14">
        <f t="shared" si="8"/>
        <v>4080</v>
      </c>
      <c r="F37" s="14">
        <f t="shared" si="9"/>
        <v>3141.5999999999995</v>
      </c>
      <c r="G37" s="7">
        <f t="shared" si="10"/>
        <v>7221.5999999999995</v>
      </c>
      <c r="H37" s="7">
        <f>+E37-E34</f>
        <v>2443.44</v>
      </c>
      <c r="I37" s="14">
        <f>+F37-F34</f>
        <v>2370.9599999999996</v>
      </c>
      <c r="J37" s="14">
        <f>+G37-G34</f>
        <v>4814.3999999999996</v>
      </c>
      <c r="K37" s="14"/>
      <c r="L37" s="7">
        <f>+L36+L35</f>
        <v>200.60000000000002</v>
      </c>
      <c r="N37" s="6"/>
      <c r="O37" s="6"/>
      <c r="P37" s="6"/>
    </row>
    <row r="38" spans="1:16" x14ac:dyDescent="0.2">
      <c r="B38" s="14"/>
      <c r="C38" s="14"/>
      <c r="D38" s="14"/>
      <c r="E38" s="14"/>
      <c r="F38" s="14"/>
      <c r="I38" s="14"/>
      <c r="J38" s="14"/>
      <c r="K38" s="14"/>
    </row>
    <row r="39" spans="1:16" x14ac:dyDescent="0.2">
      <c r="B39" s="14"/>
      <c r="C39" s="14"/>
      <c r="D39" s="14"/>
      <c r="E39" s="14">
        <f>E35-E34</f>
        <v>1151.4000000000001</v>
      </c>
      <c r="F39" s="14">
        <f>F35-F34</f>
        <v>1255.7999999999997</v>
      </c>
      <c r="G39" s="14">
        <f>G35-G34</f>
        <v>2407.1999999999998</v>
      </c>
      <c r="I39" s="14"/>
      <c r="J39" s="14"/>
      <c r="K39" s="14"/>
    </row>
    <row r="40" spans="1:16" x14ac:dyDescent="0.2">
      <c r="B40" s="14"/>
      <c r="C40" s="14"/>
      <c r="D40" s="14"/>
      <c r="E40" s="14">
        <f>E37-E34</f>
        <v>2443.44</v>
      </c>
      <c r="F40" s="14">
        <f>F37-F34</f>
        <v>2370.9599999999996</v>
      </c>
      <c r="G40" s="7">
        <f>G37-G34</f>
        <v>4814.3999999999996</v>
      </c>
      <c r="H40" s="7"/>
      <c r="I40" s="14"/>
      <c r="J40" s="14"/>
      <c r="K40" s="14"/>
      <c r="L40" s="7"/>
    </row>
    <row r="41" spans="1:16" x14ac:dyDescent="0.2">
      <c r="A41" s="2" t="s">
        <v>32</v>
      </c>
      <c r="B41" s="14"/>
      <c r="C41" s="14"/>
      <c r="D41" s="14"/>
      <c r="E41" s="14"/>
      <c r="F41" s="14"/>
      <c r="G41" s="7"/>
      <c r="H41" s="7"/>
      <c r="I41" s="14"/>
      <c r="J41" s="14"/>
      <c r="K41" s="14"/>
      <c r="L41" s="7"/>
    </row>
    <row r="42" spans="1:16" x14ac:dyDescent="0.2">
      <c r="B42" s="14"/>
      <c r="C42" s="14"/>
      <c r="D42" s="14"/>
      <c r="E42" s="14"/>
      <c r="F42" s="14"/>
      <c r="G42" s="7"/>
      <c r="H42" s="7"/>
      <c r="I42" s="14"/>
      <c r="J42" s="14"/>
      <c r="K42" s="14"/>
      <c r="L42" s="7"/>
    </row>
    <row r="43" spans="1:16" x14ac:dyDescent="0.2">
      <c r="A43" s="123" t="s">
        <v>24</v>
      </c>
      <c r="B43" s="124"/>
      <c r="C43" s="124"/>
      <c r="D43" s="124"/>
      <c r="E43" s="124"/>
      <c r="F43" s="14"/>
      <c r="I43" s="14"/>
      <c r="J43" s="14"/>
      <c r="K43" s="14"/>
    </row>
    <row r="44" spans="1:16" x14ac:dyDescent="0.2">
      <c r="A44" s="127" t="s">
        <v>14</v>
      </c>
      <c r="B44" s="14">
        <v>200.6</v>
      </c>
      <c r="C44" s="124">
        <v>0</v>
      </c>
      <c r="D44" s="124">
        <f>B44-C44</f>
        <v>200.6</v>
      </c>
      <c r="E44" s="124">
        <f>+D44*12</f>
        <v>2407.1999999999998</v>
      </c>
      <c r="F44" s="14"/>
      <c r="G44" s="7"/>
      <c r="H44" s="7"/>
      <c r="I44" s="14"/>
      <c r="J44" s="14"/>
      <c r="K44" s="14"/>
      <c r="L44" s="7"/>
      <c r="N44" s="6"/>
      <c r="O44" s="6"/>
      <c r="P44" s="6"/>
    </row>
    <row r="45" spans="1:16" x14ac:dyDescent="0.2">
      <c r="A45" s="127" t="s">
        <v>15</v>
      </c>
      <c r="B45" s="14">
        <v>401.2</v>
      </c>
      <c r="C45" s="124">
        <v>0</v>
      </c>
      <c r="D45" s="124">
        <f>B45-C45</f>
        <v>401.2</v>
      </c>
      <c r="E45" s="124">
        <f t="shared" ref="E45:E47" si="11">+D45*12</f>
        <v>4814.3999999999996</v>
      </c>
      <c r="F45" s="14"/>
      <c r="G45" s="7"/>
      <c r="H45" s="7"/>
      <c r="I45" s="14"/>
      <c r="J45" s="14"/>
      <c r="K45" s="14"/>
      <c r="L45" s="7"/>
      <c r="N45" s="6"/>
      <c r="O45" s="6"/>
      <c r="P45" s="6"/>
    </row>
    <row r="46" spans="1:16" x14ac:dyDescent="0.2">
      <c r="A46" s="127" t="s">
        <v>18</v>
      </c>
      <c r="B46" s="14">
        <v>401.2</v>
      </c>
      <c r="C46" s="124">
        <v>0</v>
      </c>
      <c r="D46" s="124">
        <f>B46-C46</f>
        <v>401.2</v>
      </c>
      <c r="E46" s="124">
        <f t="shared" si="11"/>
        <v>4814.3999999999996</v>
      </c>
      <c r="F46" s="14"/>
      <c r="G46" s="7"/>
      <c r="H46" s="7"/>
      <c r="I46" s="14"/>
      <c r="J46" s="14"/>
      <c r="K46" s="14"/>
      <c r="L46" s="7"/>
      <c r="N46" s="6"/>
      <c r="O46" s="6"/>
      <c r="P46" s="6"/>
    </row>
    <row r="47" spans="1:16" x14ac:dyDescent="0.2">
      <c r="A47" s="128" t="s">
        <v>21</v>
      </c>
      <c r="B47" s="14">
        <v>601.79999999999995</v>
      </c>
      <c r="C47" s="124">
        <v>0</v>
      </c>
      <c r="D47" s="124">
        <f>B47-C47</f>
        <v>601.79999999999995</v>
      </c>
      <c r="E47" s="124">
        <f t="shared" si="11"/>
        <v>7221.5999999999995</v>
      </c>
      <c r="F47" s="14"/>
      <c r="G47" s="7"/>
      <c r="H47" s="7"/>
      <c r="I47" s="14"/>
      <c r="J47" s="14"/>
      <c r="K47" s="14"/>
      <c r="L47" s="7"/>
      <c r="N47" s="6"/>
      <c r="O47" s="6"/>
      <c r="P47" s="6"/>
    </row>
    <row r="48" spans="1:16" x14ac:dyDescent="0.2">
      <c r="B48" s="14"/>
      <c r="C48" s="14"/>
      <c r="D48" s="14"/>
      <c r="E48" s="14"/>
      <c r="F48" s="14"/>
      <c r="I48" s="14"/>
      <c r="J48" s="14"/>
      <c r="K48" s="14"/>
    </row>
    <row r="49" spans="1:20" x14ac:dyDescent="0.2">
      <c r="B49" s="14"/>
      <c r="C49" s="14"/>
      <c r="D49" s="14"/>
      <c r="E49" s="14"/>
      <c r="F49" s="14"/>
      <c r="I49" s="14"/>
      <c r="J49" s="14"/>
      <c r="K49" s="14"/>
    </row>
    <row r="50" spans="1:20" x14ac:dyDescent="0.2">
      <c r="A50" s="2" t="s">
        <v>20</v>
      </c>
      <c r="B50" s="14"/>
      <c r="C50" s="14"/>
      <c r="D50" s="14"/>
      <c r="E50" s="14"/>
      <c r="F50" s="14"/>
      <c r="I50" s="14"/>
      <c r="J50" s="14"/>
      <c r="K50" s="14"/>
    </row>
    <row r="51" spans="1:20" x14ac:dyDescent="0.2">
      <c r="B51" s="14"/>
      <c r="C51" s="14"/>
      <c r="D51" s="14"/>
      <c r="E51" s="14"/>
      <c r="F51" s="14"/>
      <c r="I51" s="14"/>
      <c r="J51" s="14"/>
      <c r="K51" s="14"/>
    </row>
    <row r="52" spans="1:20" x14ac:dyDescent="0.2">
      <c r="A52" s="10" t="s">
        <v>24</v>
      </c>
      <c r="B52" s="14"/>
      <c r="C52" s="14"/>
      <c r="D52" s="14"/>
      <c r="E52" s="14"/>
      <c r="F52" s="14"/>
      <c r="I52" s="14"/>
      <c r="J52" s="14"/>
      <c r="K52" s="14"/>
    </row>
    <row r="53" spans="1:20" x14ac:dyDescent="0.2">
      <c r="A53" t="s">
        <v>11</v>
      </c>
      <c r="B53" s="103">
        <f>B12</f>
        <v>200.6</v>
      </c>
      <c r="C53" s="103">
        <f>+B53-D53</f>
        <v>60.519999999999982</v>
      </c>
      <c r="D53" s="14">
        <v>140.08000000000001</v>
      </c>
      <c r="E53" s="14">
        <f>+D53*12</f>
        <v>1680.96</v>
      </c>
      <c r="F53" s="14">
        <f>+C53*12</f>
        <v>726.23999999999978</v>
      </c>
      <c r="G53" s="7">
        <f>+B53*12</f>
        <v>2407.1999999999998</v>
      </c>
      <c r="H53" s="7">
        <f>189.21+134</f>
        <v>323.21000000000004</v>
      </c>
      <c r="I53" s="14"/>
      <c r="J53" s="14"/>
      <c r="K53" s="14"/>
      <c r="L53" s="7"/>
      <c r="N53" s="6"/>
      <c r="O53" s="6"/>
      <c r="P53" s="6"/>
    </row>
    <row r="54" spans="1:20" x14ac:dyDescent="0.2">
      <c r="A54" s="9" t="s">
        <v>22</v>
      </c>
      <c r="B54" s="14">
        <f>B12</f>
        <v>200.6</v>
      </c>
      <c r="C54" s="14">
        <f t="shared" ref="C54:C55" si="12">+B54-D54</f>
        <v>60.519999999999982</v>
      </c>
      <c r="D54" s="14">
        <v>140.08000000000001</v>
      </c>
      <c r="E54" s="14">
        <f>+D54*12</f>
        <v>1680.96</v>
      </c>
      <c r="F54" s="14">
        <f>+C54*12</f>
        <v>726.23999999999978</v>
      </c>
      <c r="G54" s="7">
        <f>+B54*12</f>
        <v>2407.1999999999998</v>
      </c>
      <c r="H54" s="7"/>
      <c r="I54" s="14"/>
      <c r="J54" s="14"/>
      <c r="K54" s="14"/>
      <c r="L54" s="7"/>
      <c r="N54" s="6"/>
      <c r="O54" s="6"/>
      <c r="P54" s="6"/>
    </row>
    <row r="55" spans="1:20" x14ac:dyDescent="0.2">
      <c r="A55" s="9" t="s">
        <v>23</v>
      </c>
      <c r="B55" s="103">
        <f>$B$12*2</f>
        <v>401.2</v>
      </c>
      <c r="C55" s="103">
        <f t="shared" si="12"/>
        <v>120.69</v>
      </c>
      <c r="D55" s="14">
        <v>280.51</v>
      </c>
      <c r="E55" s="14">
        <f>+D55*12</f>
        <v>3366.12</v>
      </c>
      <c r="F55" s="14">
        <f>+C55*12</f>
        <v>1448.28</v>
      </c>
      <c r="G55" s="7">
        <f>+B55*12</f>
        <v>4814.3999999999996</v>
      </c>
      <c r="H55" s="7"/>
      <c r="I55" s="14"/>
      <c r="J55" s="14"/>
      <c r="K55" s="14"/>
      <c r="L55" s="7"/>
      <c r="N55" s="6"/>
      <c r="O55" s="6"/>
      <c r="P55" s="6"/>
    </row>
    <row r="56" spans="1:20" x14ac:dyDescent="0.2">
      <c r="B56" s="14"/>
      <c r="C56" s="14"/>
      <c r="D56" s="14"/>
      <c r="E56" s="14"/>
      <c r="F56" s="14"/>
    </row>
    <row r="57" spans="1:20" x14ac:dyDescent="0.2">
      <c r="B57" s="14"/>
      <c r="C57" s="14"/>
      <c r="D57" s="14"/>
      <c r="E57" s="14"/>
      <c r="F57" s="14"/>
    </row>
    <row r="58" spans="1:20" x14ac:dyDescent="0.2">
      <c r="A58" s="11"/>
      <c r="B58" s="31"/>
      <c r="C58" s="31"/>
      <c r="D58" s="31"/>
      <c r="E58" s="31"/>
      <c r="F58" s="31"/>
      <c r="G58" s="31"/>
    </row>
    <row r="59" spans="1:20" x14ac:dyDescent="0.2">
      <c r="A59" s="31"/>
      <c r="B59" s="16"/>
      <c r="C59" s="29"/>
      <c r="D59" s="29"/>
      <c r="E59" s="29"/>
      <c r="F59" s="29"/>
      <c r="G59" s="28"/>
    </row>
    <row r="60" spans="1:20" x14ac:dyDescent="0.2">
      <c r="A60" s="159"/>
      <c r="B60" s="32"/>
      <c r="C60" s="28"/>
      <c r="D60" s="28"/>
      <c r="E60" s="28"/>
      <c r="F60" s="28"/>
      <c r="G60" s="18"/>
    </row>
    <row r="61" spans="1:20" x14ac:dyDescent="0.2">
      <c r="A61" s="159"/>
      <c r="B61" s="4"/>
      <c r="C61" s="28"/>
      <c r="D61" s="28"/>
      <c r="E61" s="28"/>
      <c r="F61" s="28"/>
      <c r="G61" s="18"/>
      <c r="H61" s="13"/>
      <c r="I61" s="16"/>
      <c r="J61" s="4"/>
      <c r="K61" s="4"/>
      <c r="L61" s="4"/>
      <c r="M61" s="4"/>
      <c r="N61" s="4"/>
      <c r="P61" s="11"/>
      <c r="Q61" s="11"/>
      <c r="R61" s="11"/>
      <c r="S61" s="11"/>
      <c r="T61" s="11"/>
    </row>
    <row r="62" spans="1:20" x14ac:dyDescent="0.2">
      <c r="A62" s="159"/>
      <c r="B62" s="4"/>
      <c r="C62" s="28"/>
      <c r="D62" s="28"/>
      <c r="E62" s="28"/>
      <c r="F62" s="28"/>
      <c r="G62" s="28"/>
      <c r="H62" s="16"/>
      <c r="I62" s="16"/>
      <c r="J62" s="4"/>
      <c r="K62" s="4"/>
      <c r="L62" s="4"/>
      <c r="M62" s="4"/>
      <c r="N62" s="4"/>
      <c r="P62" s="11"/>
      <c r="Q62" s="11"/>
      <c r="R62" s="11"/>
      <c r="S62" s="11"/>
      <c r="T62" s="11"/>
    </row>
    <row r="63" spans="1:20" x14ac:dyDescent="0.2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P63" s="11"/>
      <c r="Q63" s="11"/>
      <c r="R63" s="11"/>
      <c r="S63" s="11"/>
      <c r="T63" s="11"/>
    </row>
    <row r="64" spans="1:20" x14ac:dyDescent="0.2">
      <c r="B64" s="4"/>
      <c r="C64" s="1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P64" s="11"/>
      <c r="Q64" s="11"/>
      <c r="R64" s="11"/>
      <c r="S64" s="11"/>
      <c r="T64" s="11"/>
    </row>
    <row r="65" spans="1:20" x14ac:dyDescent="0.2">
      <c r="A65" s="2"/>
      <c r="D65" s="13"/>
      <c r="E65" s="13"/>
      <c r="F65" s="13"/>
      <c r="G65" s="13"/>
      <c r="H65" s="13"/>
      <c r="I65" s="4"/>
      <c r="J65" s="4"/>
      <c r="K65" s="4"/>
      <c r="L65" s="4"/>
      <c r="M65" s="4"/>
      <c r="N65" s="4"/>
      <c r="P65" s="11"/>
      <c r="Q65" s="11"/>
      <c r="R65" s="11"/>
      <c r="S65" s="11"/>
      <c r="T65" s="11"/>
    </row>
    <row r="66" spans="1:20" x14ac:dyDescent="0.2">
      <c r="A66" s="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P66" s="11"/>
      <c r="Q66" s="11"/>
      <c r="R66" s="11"/>
      <c r="S66" s="11"/>
      <c r="T66" s="11"/>
    </row>
    <row r="67" spans="1:20" x14ac:dyDescent="0.2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P67" s="11"/>
      <c r="Q67" s="11"/>
      <c r="R67" s="11"/>
      <c r="S67" s="11"/>
      <c r="T67" s="11"/>
    </row>
    <row r="68" spans="1:20" x14ac:dyDescent="0.2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P68" s="11"/>
      <c r="Q68" s="11"/>
      <c r="R68" s="11"/>
      <c r="S68" s="11"/>
      <c r="T68" s="11"/>
    </row>
    <row r="70" spans="1:20" x14ac:dyDescent="0.2">
      <c r="A70" s="10"/>
    </row>
    <row r="71" spans="1:20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N71" s="24"/>
      <c r="O71" s="14"/>
      <c r="P71" s="14"/>
    </row>
    <row r="72" spans="1:20" x14ac:dyDescent="0.2">
      <c r="A72" s="9"/>
      <c r="B72" s="14"/>
      <c r="C72" s="14"/>
      <c r="D72" s="14"/>
      <c r="E72" s="14"/>
      <c r="F72" s="14"/>
      <c r="G72" s="14"/>
      <c r="H72" s="14"/>
      <c r="I72" s="14"/>
      <c r="J72" s="14"/>
      <c r="K72" s="14"/>
      <c r="N72" s="14"/>
      <c r="O72" s="14"/>
      <c r="P72" s="14"/>
    </row>
    <row r="73" spans="1:20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N73" s="14"/>
      <c r="O73" s="14"/>
      <c r="P73" s="14"/>
    </row>
    <row r="74" spans="1:20" x14ac:dyDescent="0.2">
      <c r="A74" s="2"/>
      <c r="B74" s="14"/>
      <c r="C74" s="14"/>
      <c r="D74" s="14"/>
      <c r="E74" s="14"/>
      <c r="F74" s="14"/>
      <c r="G74" s="14"/>
      <c r="H74" s="14"/>
      <c r="I74" s="14"/>
      <c r="J74" s="14"/>
      <c r="K74" s="14"/>
      <c r="N74" s="14"/>
      <c r="O74" s="14"/>
      <c r="P74" s="14"/>
    </row>
    <row r="75" spans="1:20" x14ac:dyDescent="0.2">
      <c r="A75" s="2"/>
      <c r="B75" s="14"/>
      <c r="C75" s="14"/>
      <c r="D75" s="14"/>
      <c r="E75" s="14"/>
      <c r="F75" s="14"/>
      <c r="G75" s="14"/>
      <c r="H75" s="14"/>
      <c r="I75" s="14"/>
      <c r="J75" s="14"/>
      <c r="K75" s="14"/>
      <c r="N75" s="14"/>
      <c r="O75" s="14"/>
      <c r="P75" s="14"/>
    </row>
    <row r="76" spans="1:20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N76" s="14"/>
      <c r="O76" s="14"/>
      <c r="P76" s="14"/>
    </row>
    <row r="77" spans="1:20" x14ac:dyDescent="0.2">
      <c r="A77" s="10"/>
      <c r="B77" s="14"/>
      <c r="C77" s="14"/>
      <c r="D77" s="14"/>
      <c r="E77" s="14"/>
      <c r="F77" s="14"/>
      <c r="G77" s="14"/>
      <c r="H77" s="14"/>
      <c r="I77" s="14"/>
      <c r="J77" s="14"/>
      <c r="K77" s="14"/>
      <c r="N77" s="14"/>
      <c r="O77" s="14"/>
      <c r="P77" s="14"/>
    </row>
    <row r="78" spans="1:20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N78" s="14"/>
      <c r="O78" s="14"/>
      <c r="P78" s="14"/>
    </row>
    <row r="79" spans="1:20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4"/>
      <c r="N79" s="14"/>
      <c r="O79" s="14"/>
      <c r="P79" s="14"/>
    </row>
    <row r="80" spans="1:20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N80" s="14"/>
      <c r="O80" s="14"/>
      <c r="P80" s="14"/>
    </row>
    <row r="81" spans="1:16" x14ac:dyDescent="0.2">
      <c r="A81" s="2"/>
      <c r="B81" s="14"/>
      <c r="C81" s="14"/>
      <c r="D81" s="14"/>
      <c r="E81" s="14"/>
      <c r="F81" s="14"/>
      <c r="G81" s="14"/>
      <c r="H81" s="14"/>
      <c r="I81" s="14"/>
      <c r="J81" s="14"/>
      <c r="K81" s="14"/>
      <c r="N81" s="14"/>
      <c r="O81" s="14"/>
      <c r="P81" s="14"/>
    </row>
    <row r="82" spans="1:16" x14ac:dyDescent="0.2">
      <c r="A82" s="2"/>
      <c r="B82" s="14"/>
      <c r="C82" s="14"/>
      <c r="D82" s="14"/>
      <c r="E82" s="14"/>
      <c r="F82" s="14"/>
      <c r="G82" s="14"/>
      <c r="H82" s="14"/>
      <c r="I82" s="14"/>
      <c r="J82" s="14"/>
      <c r="K82" s="14"/>
      <c r="N82" s="14"/>
      <c r="O82" s="14"/>
      <c r="P82" s="14"/>
    </row>
    <row r="83" spans="1:16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N83" s="14"/>
      <c r="O83" s="14"/>
      <c r="P83" s="14"/>
    </row>
    <row r="84" spans="1:16" x14ac:dyDescent="0.2">
      <c r="A84" s="10"/>
      <c r="N84" s="14"/>
      <c r="O84" s="14"/>
      <c r="P84" s="14"/>
    </row>
    <row r="85" spans="1:16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</row>
  </sheetData>
  <mergeCells count="4">
    <mergeCell ref="A60:A62"/>
    <mergeCell ref="B3:D3"/>
    <mergeCell ref="A2:E2"/>
    <mergeCell ref="H3:K3"/>
  </mergeCells>
  <phoneticPr fontId="3" type="noConversion"/>
  <pageMargins left="0.75" right="0.75" top="1" bottom="1" header="0.5" footer="0.5"/>
  <pageSetup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8"/>
  <sheetViews>
    <sheetView topLeftCell="B1" workbookViewId="0">
      <selection activeCell="M14" sqref="M14"/>
    </sheetView>
  </sheetViews>
  <sheetFormatPr defaultColWidth="9.140625" defaultRowHeight="12.75" x14ac:dyDescent="0.2"/>
  <cols>
    <col min="1" max="1" width="49.5703125" style="36" bestFit="1" customWidth="1"/>
    <col min="2" max="2" width="9.140625" style="36"/>
    <col min="3" max="3" width="11.28515625" style="36" bestFit="1" customWidth="1"/>
    <col min="4" max="5" width="14.42578125" style="36" bestFit="1" customWidth="1"/>
    <col min="6" max="7" width="14.7109375" style="36" hidden="1" customWidth="1"/>
    <col min="8" max="8" width="17.42578125" style="53" hidden="1" customWidth="1"/>
    <col min="9" max="17" width="17.42578125" style="53" customWidth="1"/>
    <col min="18" max="18" width="21.42578125" style="36" bestFit="1" customWidth="1"/>
    <col min="19" max="19" width="12.140625" style="71" bestFit="1" customWidth="1"/>
    <col min="20" max="20" width="9.42578125" style="71" bestFit="1" customWidth="1"/>
    <col min="21" max="22" width="9.140625" style="36" customWidth="1"/>
    <col min="23" max="16384" width="9.140625" style="36"/>
  </cols>
  <sheetData>
    <row r="1" spans="1:24" ht="18" x14ac:dyDescent="0.25">
      <c r="A1" s="163" t="s">
        <v>120</v>
      </c>
      <c r="B1" s="163"/>
      <c r="C1" s="163"/>
      <c r="D1" s="163"/>
      <c r="E1" s="163"/>
      <c r="F1" s="163"/>
      <c r="G1" s="163"/>
      <c r="H1" s="37"/>
      <c r="I1" s="37"/>
      <c r="J1" s="37"/>
      <c r="K1" s="37"/>
      <c r="L1" s="37"/>
      <c r="M1" s="37"/>
      <c r="N1" s="37"/>
      <c r="O1" s="37"/>
      <c r="P1" s="37"/>
      <c r="Q1" s="37"/>
      <c r="T1" s="76"/>
    </row>
    <row r="2" spans="1:24" ht="18" x14ac:dyDescent="0.25">
      <c r="A2" s="164" t="s">
        <v>92</v>
      </c>
      <c r="B2" s="164"/>
      <c r="C2" s="164"/>
      <c r="D2" s="164"/>
      <c r="E2" s="164"/>
      <c r="F2" s="164"/>
      <c r="G2" s="164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4" ht="15.75" x14ac:dyDescent="0.25">
      <c r="D3" s="38"/>
      <c r="E3" s="38"/>
      <c r="F3" s="39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4" ht="15.75" x14ac:dyDescent="0.25">
      <c r="A4" s="42"/>
      <c r="B4" s="42"/>
      <c r="C4" s="42"/>
      <c r="D4" s="38"/>
      <c r="E4" s="38"/>
      <c r="F4" s="39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4" ht="15" x14ac:dyDescent="0.2">
      <c r="B5" s="39"/>
      <c r="C5" s="161"/>
      <c r="D5" s="161"/>
      <c r="E5" s="161"/>
      <c r="F5" s="165" t="s">
        <v>91</v>
      </c>
      <c r="G5" s="165"/>
      <c r="H5" s="40"/>
      <c r="I5" s="40"/>
      <c r="J5" s="40"/>
      <c r="K5" s="40"/>
      <c r="L5" s="40"/>
      <c r="M5" s="40"/>
      <c r="N5" s="40"/>
      <c r="O5" s="40"/>
      <c r="P5" s="40"/>
      <c r="Q5" s="40"/>
      <c r="T5" s="77"/>
    </row>
    <row r="6" spans="1:24" ht="15.75" x14ac:dyDescent="0.25">
      <c r="A6" s="43" t="s">
        <v>5</v>
      </c>
      <c r="B6" s="39"/>
      <c r="C6" s="44">
        <v>2025</v>
      </c>
      <c r="D6" s="44">
        <v>2025</v>
      </c>
      <c r="E6" s="44">
        <v>2025</v>
      </c>
      <c r="F6" s="44">
        <v>2021</v>
      </c>
      <c r="G6" s="44">
        <v>2021</v>
      </c>
      <c r="H6" s="162" t="s">
        <v>96</v>
      </c>
      <c r="I6" s="101"/>
      <c r="J6" s="146"/>
      <c r="K6" s="101"/>
      <c r="L6" s="146"/>
      <c r="M6" s="101"/>
      <c r="N6" s="107"/>
      <c r="O6" s="101"/>
      <c r="P6" s="107"/>
      <c r="Q6" s="107"/>
      <c r="T6" s="77"/>
    </row>
    <row r="7" spans="1:24" ht="15.75" x14ac:dyDescent="0.25">
      <c r="A7" s="43" t="s">
        <v>6</v>
      </c>
      <c r="B7" s="39"/>
      <c r="C7" s="45" t="s">
        <v>2</v>
      </c>
      <c r="D7" s="46" t="s">
        <v>3</v>
      </c>
      <c r="E7" s="46" t="s">
        <v>8</v>
      </c>
      <c r="F7" s="46" t="s">
        <v>8</v>
      </c>
      <c r="G7" s="46" t="s">
        <v>8</v>
      </c>
      <c r="H7" s="162"/>
      <c r="I7" s="101"/>
      <c r="J7" s="146"/>
      <c r="K7" s="101"/>
      <c r="L7" s="146"/>
      <c r="M7" s="101"/>
      <c r="N7" s="107"/>
      <c r="O7" s="101"/>
      <c r="P7" s="107"/>
      <c r="Q7" s="107"/>
    </row>
    <row r="8" spans="1:24" ht="18.75" customHeight="1" x14ac:dyDescent="0.25">
      <c r="A8" s="43" t="s">
        <v>7</v>
      </c>
      <c r="B8" s="39"/>
      <c r="C8" s="45" t="s">
        <v>1</v>
      </c>
      <c r="D8" s="46" t="s">
        <v>4</v>
      </c>
      <c r="E8" s="46" t="s">
        <v>4</v>
      </c>
      <c r="F8" s="46" t="s">
        <v>4</v>
      </c>
      <c r="G8" s="46" t="s">
        <v>4</v>
      </c>
      <c r="H8" s="162"/>
      <c r="I8" s="101" t="s">
        <v>106</v>
      </c>
      <c r="J8" s="146"/>
      <c r="K8" s="101"/>
      <c r="L8" s="146"/>
      <c r="M8" s="101" t="s">
        <v>105</v>
      </c>
      <c r="N8" s="107"/>
      <c r="O8" s="101"/>
      <c r="P8" s="107"/>
      <c r="Q8" s="107"/>
    </row>
    <row r="9" spans="1:24" ht="15.75" x14ac:dyDescent="0.25">
      <c r="B9" s="39"/>
      <c r="C9" s="45"/>
      <c r="D9" s="46"/>
      <c r="E9" s="47"/>
      <c r="F9" s="48">
        <v>50</v>
      </c>
      <c r="G9" s="48">
        <v>100</v>
      </c>
      <c r="H9" s="40"/>
      <c r="I9" s="40" t="s">
        <v>103</v>
      </c>
      <c r="J9" s="40"/>
      <c r="K9" s="40" t="s">
        <v>104</v>
      </c>
      <c r="L9" s="40"/>
      <c r="M9" s="40" t="s">
        <v>103</v>
      </c>
      <c r="N9" s="40"/>
      <c r="O9" s="40" t="s">
        <v>104</v>
      </c>
      <c r="P9" s="40"/>
      <c r="Q9" s="40"/>
    </row>
    <row r="10" spans="1:24" ht="15.75" x14ac:dyDescent="0.25">
      <c r="A10" s="49" t="s">
        <v>33</v>
      </c>
      <c r="B10" s="50"/>
      <c r="C10" s="51"/>
      <c r="D10" s="38"/>
      <c r="E10" s="38"/>
      <c r="F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S10" s="68" t="s">
        <v>75</v>
      </c>
      <c r="T10" s="68" t="s">
        <v>52</v>
      </c>
      <c r="U10" s="87" t="s">
        <v>53</v>
      </c>
      <c r="V10" s="68" t="s">
        <v>75</v>
      </c>
      <c r="W10" s="68" t="s">
        <v>52</v>
      </c>
      <c r="X10" s="87" t="s">
        <v>53</v>
      </c>
    </row>
    <row r="11" spans="1:24" x14ac:dyDescent="0.2">
      <c r="A11" s="167" t="s">
        <v>34</v>
      </c>
      <c r="B11" s="168"/>
      <c r="C11" s="169">
        <f>+T11+T14</f>
        <v>2238.0342000000001</v>
      </c>
      <c r="D11" s="170">
        <f t="shared" ref="D11:D16" si="0">+C11-E11</f>
        <v>1554.9045999999998</v>
      </c>
      <c r="E11" s="170">
        <f>+I11+M11</f>
        <v>683.1296000000001</v>
      </c>
      <c r="F11" s="169">
        <f>+E11+50</f>
        <v>733.1296000000001</v>
      </c>
      <c r="G11" s="169">
        <f>+E11+100</f>
        <v>783.1296000000001</v>
      </c>
      <c r="H11" s="171">
        <f>+(D11-U11)*0.867</f>
        <v>1174.1820882</v>
      </c>
      <c r="I11" s="171">
        <f>+S11</f>
        <v>0</v>
      </c>
      <c r="J11" s="171">
        <f>+I11*12</f>
        <v>0</v>
      </c>
      <c r="K11" s="171">
        <f>+U11</f>
        <v>200.6</v>
      </c>
      <c r="L11" s="171">
        <f>+K11*12</f>
        <v>2407.1999999999998</v>
      </c>
      <c r="M11" s="171">
        <f>+S14</f>
        <v>683.1296000000001</v>
      </c>
      <c r="N11" s="171">
        <f>+M11*12</f>
        <v>8197.5552000000007</v>
      </c>
      <c r="O11" s="171">
        <f>+U14</f>
        <v>1354.3045999999999</v>
      </c>
      <c r="P11" s="171">
        <f>+O11*12</f>
        <v>16251.655199999999</v>
      </c>
      <c r="Q11" s="171">
        <f>+N11+P11</f>
        <v>24449.2104</v>
      </c>
      <c r="R11" s="73" t="s">
        <v>57</v>
      </c>
      <c r="S11" s="71">
        <f>'MAPD PPO'!D12</f>
        <v>0</v>
      </c>
      <c r="T11" s="71">
        <f>'MAPD PPO'!B12</f>
        <v>200.6</v>
      </c>
      <c r="U11" s="71">
        <f>+T11-S11</f>
        <v>200.6</v>
      </c>
    </row>
    <row r="12" spans="1:24" x14ac:dyDescent="0.2">
      <c r="A12" s="58" t="s">
        <v>35</v>
      </c>
      <c r="B12" s="82"/>
      <c r="C12" s="83">
        <f>+T12+T13</f>
        <v>1757.1979999999999</v>
      </c>
      <c r="D12" s="84">
        <f t="shared" si="0"/>
        <v>1517.1179999999999</v>
      </c>
      <c r="E12" s="54">
        <f>+I12+M12</f>
        <v>240.08</v>
      </c>
      <c r="F12" s="83">
        <f>E12+50</f>
        <v>290.08000000000004</v>
      </c>
      <c r="G12" s="83">
        <f>E12+100</f>
        <v>340.08000000000004</v>
      </c>
      <c r="H12" s="56">
        <f>+(D12-U12)*0.867</f>
        <v>1262.8704659999999</v>
      </c>
      <c r="I12" s="56">
        <f>S12</f>
        <v>140.08000000000001</v>
      </c>
      <c r="J12" s="56">
        <f t="shared" ref="J12:J16" si="1">+I12*12</f>
        <v>1680.96</v>
      </c>
      <c r="K12" s="102">
        <f>U12</f>
        <v>60.519999999999982</v>
      </c>
      <c r="L12" s="56">
        <f t="shared" ref="L12:L16" si="2">+K12*12</f>
        <v>726.23999999999978</v>
      </c>
      <c r="M12" s="56">
        <f>+S13</f>
        <v>100</v>
      </c>
      <c r="N12" s="56">
        <f t="shared" ref="N12:N16" si="3">+M12*12</f>
        <v>1200</v>
      </c>
      <c r="O12" s="56">
        <f>U13</f>
        <v>1456.598</v>
      </c>
      <c r="P12" s="56">
        <f t="shared" ref="P12:P16" si="4">+O12*12</f>
        <v>17479.175999999999</v>
      </c>
      <c r="Q12" s="56">
        <f t="shared" ref="Q12:Q16" si="5">+N12+P12</f>
        <v>18679.175999999999</v>
      </c>
      <c r="R12" s="73" t="s">
        <v>73</v>
      </c>
      <c r="S12" s="71">
        <f>'MAPD PPO'!D13</f>
        <v>140.08000000000001</v>
      </c>
      <c r="T12" s="71">
        <v>200.6</v>
      </c>
      <c r="U12" s="71">
        <f t="shared" ref="U12:U16" si="6">+T12-S12</f>
        <v>60.519999999999982</v>
      </c>
    </row>
    <row r="13" spans="1:24" x14ac:dyDescent="0.2">
      <c r="A13" s="172" t="s">
        <v>36</v>
      </c>
      <c r="B13" s="173"/>
      <c r="C13" s="174">
        <f>+T11+T15</f>
        <v>1289.4206999999997</v>
      </c>
      <c r="D13" s="175">
        <f t="shared" si="0"/>
        <v>917.94849999999963</v>
      </c>
      <c r="E13" s="175">
        <f>+I13+M13</f>
        <v>371.47220000000004</v>
      </c>
      <c r="F13" s="174">
        <f>E13+50</f>
        <v>421.47220000000004</v>
      </c>
      <c r="G13" s="174">
        <f>+E13+100</f>
        <v>471.47220000000004</v>
      </c>
      <c r="H13" s="176">
        <f>+(D13-U11)*0.867</f>
        <v>621.9411494999996</v>
      </c>
      <c r="I13" s="176">
        <f>S11</f>
        <v>0</v>
      </c>
      <c r="J13" s="176">
        <f t="shared" si="1"/>
        <v>0</v>
      </c>
      <c r="K13" s="176">
        <f>U11</f>
        <v>200.6</v>
      </c>
      <c r="L13" s="176">
        <f t="shared" si="2"/>
        <v>2407.1999999999998</v>
      </c>
      <c r="M13" s="176">
        <f>+S15</f>
        <v>371.47220000000004</v>
      </c>
      <c r="N13" s="176">
        <f t="shared" si="3"/>
        <v>4457.6664000000001</v>
      </c>
      <c r="O13" s="176">
        <f>U15</f>
        <v>717.34849999999972</v>
      </c>
      <c r="P13" s="176">
        <f t="shared" si="4"/>
        <v>8608.1819999999971</v>
      </c>
      <c r="Q13" s="176">
        <f t="shared" si="5"/>
        <v>13065.848399999997</v>
      </c>
      <c r="R13" s="73" t="s">
        <v>74</v>
      </c>
      <c r="S13" s="71">
        <f>'NonMCHealth Center'!D13</f>
        <v>100</v>
      </c>
      <c r="T13" s="71">
        <f>'NonMCHealth Center'!B13</f>
        <v>1556.598</v>
      </c>
      <c r="U13" s="71">
        <f t="shared" si="6"/>
        <v>1456.598</v>
      </c>
    </row>
    <row r="14" spans="1:24" x14ac:dyDescent="0.2">
      <c r="A14" s="177" t="s">
        <v>38</v>
      </c>
      <c r="B14" s="178"/>
      <c r="C14" s="179">
        <f>+T11+T16</f>
        <v>3252.8992999999996</v>
      </c>
      <c r="D14" s="180">
        <f t="shared" si="0"/>
        <v>2232.0326999999997</v>
      </c>
      <c r="E14" s="180">
        <f>+I14+M14</f>
        <v>1020.8666000000001</v>
      </c>
      <c r="F14" s="179">
        <f>+E14+50</f>
        <v>1070.8666000000001</v>
      </c>
      <c r="G14" s="179">
        <f>+E14+100</f>
        <v>1120.8666000000001</v>
      </c>
      <c r="H14" s="181">
        <f>+(D14-U11)*0.867</f>
        <v>1761.2521508999998</v>
      </c>
      <c r="I14" s="181">
        <f>S11</f>
        <v>0</v>
      </c>
      <c r="J14" s="181">
        <f t="shared" si="1"/>
        <v>0</v>
      </c>
      <c r="K14" s="181">
        <f>U11</f>
        <v>200.6</v>
      </c>
      <c r="L14" s="181">
        <f t="shared" si="2"/>
        <v>2407.1999999999998</v>
      </c>
      <c r="M14" s="181">
        <f>S16</f>
        <v>1020.8666000000001</v>
      </c>
      <c r="N14" s="181">
        <f t="shared" si="3"/>
        <v>12250.3992</v>
      </c>
      <c r="O14" s="181">
        <f>U16</f>
        <v>2031.4326999999996</v>
      </c>
      <c r="P14" s="181">
        <f t="shared" si="4"/>
        <v>24377.192399999996</v>
      </c>
      <c r="Q14" s="181">
        <f t="shared" si="5"/>
        <v>36627.5916</v>
      </c>
      <c r="R14" s="73" t="s">
        <v>58</v>
      </c>
      <c r="S14" s="71">
        <f>'NonMCHealth Center'!D14-100</f>
        <v>683.1296000000001</v>
      </c>
      <c r="T14" s="71">
        <f>'NonMCHealth Center'!B14-'NonMCHealth Center'!B13</f>
        <v>2037.4342000000001</v>
      </c>
      <c r="U14" s="71">
        <f t="shared" si="6"/>
        <v>1354.3045999999999</v>
      </c>
    </row>
    <row r="15" spans="1:24" x14ac:dyDescent="0.2">
      <c r="A15" s="58" t="s">
        <v>39</v>
      </c>
      <c r="B15" s="82"/>
      <c r="C15" s="83">
        <f>+T12+T13+T15</f>
        <v>2846.0186999999996</v>
      </c>
      <c r="D15" s="84">
        <f t="shared" si="0"/>
        <v>2234.4664999999995</v>
      </c>
      <c r="E15" s="54">
        <f>+I15+M15</f>
        <v>611.55220000000008</v>
      </c>
      <c r="F15" s="83">
        <f>E15+50</f>
        <v>661.55220000000008</v>
      </c>
      <c r="G15" s="83">
        <f>E15+100</f>
        <v>711.55220000000008</v>
      </c>
      <c r="H15" s="55">
        <f>+(D15-U12)*0.867</f>
        <v>1884.8116154999996</v>
      </c>
      <c r="I15" s="55">
        <f>S12</f>
        <v>140.08000000000001</v>
      </c>
      <c r="J15" s="56">
        <f t="shared" si="1"/>
        <v>1680.96</v>
      </c>
      <c r="K15" s="55">
        <f>U12</f>
        <v>60.519999999999982</v>
      </c>
      <c r="L15" s="56">
        <f t="shared" si="2"/>
        <v>726.23999999999978</v>
      </c>
      <c r="M15" s="55">
        <f>+S13+S15</f>
        <v>471.47220000000004</v>
      </c>
      <c r="N15" s="56">
        <f t="shared" si="3"/>
        <v>5657.6664000000001</v>
      </c>
      <c r="O15" s="55">
        <f>U13+U15</f>
        <v>2173.9464999999996</v>
      </c>
      <c r="P15" s="56">
        <f t="shared" si="4"/>
        <v>26087.357999999993</v>
      </c>
      <c r="Q15" s="56">
        <f t="shared" si="5"/>
        <v>31745.024399999995</v>
      </c>
      <c r="R15" s="73" t="s">
        <v>59</v>
      </c>
      <c r="S15" s="71">
        <f>'NonMCHealth Center'!D15-100</f>
        <v>371.47220000000004</v>
      </c>
      <c r="T15" s="71">
        <f>'NonMCHealth Center'!B15-'NonMCHealth Center'!B13</f>
        <v>1088.8206999999998</v>
      </c>
      <c r="U15" s="71">
        <f t="shared" si="6"/>
        <v>717.34849999999972</v>
      </c>
      <c r="V15" s="36">
        <f>+S15*12</f>
        <v>4457.6664000000001</v>
      </c>
      <c r="W15" s="36">
        <f>+T15*12</f>
        <v>13065.848399999997</v>
      </c>
      <c r="X15" s="36">
        <f>+U15*12</f>
        <v>8608.1819999999971</v>
      </c>
    </row>
    <row r="16" spans="1:24" x14ac:dyDescent="0.2">
      <c r="A16" s="182" t="s">
        <v>40</v>
      </c>
      <c r="B16" s="183"/>
      <c r="C16" s="184">
        <f>+T11+T12+T15</f>
        <v>1490.0206999999998</v>
      </c>
      <c r="D16" s="185">
        <f t="shared" si="0"/>
        <v>978.46849999999972</v>
      </c>
      <c r="E16" s="185">
        <f>+I16+M16</f>
        <v>511.55220000000008</v>
      </c>
      <c r="F16" s="184">
        <f>+E16+50</f>
        <v>561.55220000000008</v>
      </c>
      <c r="G16" s="184">
        <f>+E16+100</f>
        <v>611.55220000000008</v>
      </c>
      <c r="H16" s="184">
        <f>+(D16-U11-U12)*0.867</f>
        <v>621.94114949999971</v>
      </c>
      <c r="I16" s="184">
        <f>S11+S12</f>
        <v>140.08000000000001</v>
      </c>
      <c r="J16" s="186">
        <f t="shared" si="1"/>
        <v>1680.96</v>
      </c>
      <c r="K16" s="184">
        <f>U11+U12</f>
        <v>261.12</v>
      </c>
      <c r="L16" s="186">
        <f t="shared" si="2"/>
        <v>3133.44</v>
      </c>
      <c r="M16" s="184">
        <f>+S15</f>
        <v>371.47220000000004</v>
      </c>
      <c r="N16" s="186">
        <f t="shared" si="3"/>
        <v>4457.6664000000001</v>
      </c>
      <c r="O16" s="184">
        <f>U15</f>
        <v>717.34849999999972</v>
      </c>
      <c r="P16" s="186">
        <f t="shared" si="4"/>
        <v>8608.1819999999971</v>
      </c>
      <c r="Q16" s="186">
        <f t="shared" si="5"/>
        <v>13065.848399999997</v>
      </c>
      <c r="R16" s="74" t="s">
        <v>60</v>
      </c>
      <c r="S16" s="71">
        <f>'NonMCHealth Center'!D16-100</f>
        <v>1020.8666000000001</v>
      </c>
      <c r="T16" s="71">
        <f>'NonMCHealth Center'!B16-'NonMCHealth Center'!B13</f>
        <v>3052.2992999999997</v>
      </c>
      <c r="U16" s="71">
        <f t="shared" si="6"/>
        <v>2031.4326999999996</v>
      </c>
    </row>
    <row r="17" spans="1:24" x14ac:dyDescent="0.2">
      <c r="A17" s="187" t="s">
        <v>97</v>
      </c>
      <c r="B17" s="188"/>
      <c r="C17" s="189">
        <f>+T13+T12+T11</f>
        <v>1957.7979999999998</v>
      </c>
      <c r="D17" s="189">
        <f>+U13+U12+U12</f>
        <v>1577.6379999999999</v>
      </c>
      <c r="E17" s="190"/>
      <c r="F17" s="191"/>
      <c r="G17" s="191"/>
      <c r="H17" s="189"/>
      <c r="I17" s="189">
        <f>+S12+S12</f>
        <v>280.16000000000003</v>
      </c>
      <c r="J17" s="189">
        <f>+I17*12</f>
        <v>3361.92</v>
      </c>
      <c r="K17" s="189">
        <f>+U12+U12</f>
        <v>121.03999999999996</v>
      </c>
      <c r="L17" s="189">
        <f>+K17*12</f>
        <v>1452.4799999999996</v>
      </c>
      <c r="M17" s="189"/>
      <c r="N17" s="189"/>
      <c r="O17" s="189"/>
      <c r="P17" s="189"/>
      <c r="Q17" s="189"/>
    </row>
    <row r="18" spans="1:24" x14ac:dyDescent="0.2">
      <c r="A18" s="61"/>
      <c r="C18" s="53"/>
      <c r="D18" s="54"/>
      <c r="E18" s="54"/>
      <c r="F18" s="59"/>
      <c r="I18" s="53">
        <f>+S11+S12+S12</f>
        <v>280.16000000000003</v>
      </c>
      <c r="J18" s="53">
        <f>+I18*12</f>
        <v>3361.92</v>
      </c>
      <c r="K18" s="53">
        <f>+T11+U12+U12</f>
        <v>321.64</v>
      </c>
      <c r="L18" s="53">
        <f>+K18*12</f>
        <v>3859.68</v>
      </c>
      <c r="M18" s="53">
        <f>+L18+J18</f>
        <v>7221.6</v>
      </c>
      <c r="S18" s="71">
        <f>+S15+S12</f>
        <v>511.55220000000008</v>
      </c>
      <c r="T18" s="71">
        <f>+T15+T12</f>
        <v>1289.4206999999997</v>
      </c>
      <c r="U18" s="71">
        <f>+U15+U12</f>
        <v>777.8684999999997</v>
      </c>
    </row>
    <row r="19" spans="1:24" x14ac:dyDescent="0.2">
      <c r="A19" s="43" t="s">
        <v>6</v>
      </c>
      <c r="B19" s="43"/>
      <c r="C19" s="53"/>
      <c r="D19" s="62"/>
      <c r="E19" s="62"/>
      <c r="F19" s="43"/>
    </row>
    <row r="20" spans="1:24" x14ac:dyDescent="0.2">
      <c r="A20" s="43" t="s">
        <v>9</v>
      </c>
      <c r="B20" s="50"/>
      <c r="C20" s="50"/>
      <c r="D20" s="63"/>
      <c r="E20" s="63"/>
      <c r="F20" s="50"/>
      <c r="J20" s="53">
        <f>+J17+L17</f>
        <v>4814.3999999999996</v>
      </c>
    </row>
    <row r="21" spans="1:24" x14ac:dyDescent="0.2">
      <c r="A21" s="43"/>
      <c r="D21" s="63"/>
      <c r="E21" s="63"/>
    </row>
    <row r="22" spans="1:24" ht="18" x14ac:dyDescent="0.25">
      <c r="A22" s="49" t="s">
        <v>33</v>
      </c>
      <c r="D22" s="63"/>
      <c r="E22" s="63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64"/>
      <c r="S22" s="76"/>
      <c r="T22" s="78"/>
      <c r="V22" s="68" t="s">
        <v>75</v>
      </c>
      <c r="W22" s="68" t="s">
        <v>52</v>
      </c>
      <c r="X22" s="87" t="s">
        <v>53</v>
      </c>
    </row>
    <row r="23" spans="1:24" x14ac:dyDescent="0.2">
      <c r="A23" s="192" t="s">
        <v>41</v>
      </c>
      <c r="B23" s="191"/>
      <c r="C23" s="189">
        <v>2238.0342000000001</v>
      </c>
      <c r="D23" s="190">
        <f t="shared" ref="D23:D28" si="7">+C23-E23</f>
        <v>1638.7601</v>
      </c>
      <c r="E23" s="190">
        <f>+I23+M23</f>
        <v>599.27410000000009</v>
      </c>
      <c r="F23" s="189">
        <f>+E23+50</f>
        <v>649.27410000000009</v>
      </c>
      <c r="G23" s="189">
        <f>+E23+100</f>
        <v>699.27410000000009</v>
      </c>
      <c r="H23" s="193">
        <f>+(D23-U23)*0.867</f>
        <v>1302.5635467</v>
      </c>
      <c r="I23" s="193">
        <f>+S23</f>
        <v>64.22</v>
      </c>
      <c r="J23" s="193">
        <f>+I23*12</f>
        <v>770.64</v>
      </c>
      <c r="K23" s="193">
        <f>+U23</f>
        <v>136.38</v>
      </c>
      <c r="L23" s="193">
        <f>+K23*12</f>
        <v>1636.56</v>
      </c>
      <c r="M23" s="193">
        <f>+S26</f>
        <v>535.05410000000006</v>
      </c>
      <c r="N23" s="193">
        <f>+M23*12</f>
        <v>6420.6492000000007</v>
      </c>
      <c r="O23" s="193">
        <f>+D23-K23</f>
        <v>1502.3800999999999</v>
      </c>
      <c r="P23" s="193">
        <f>+O23*12</f>
        <v>18028.561199999996</v>
      </c>
      <c r="Q23" s="193">
        <f>+P23+N23</f>
        <v>24449.210399999996</v>
      </c>
      <c r="R23" s="73" t="s">
        <v>57</v>
      </c>
      <c r="S23" s="71">
        <f>'MAPD PPO'!D23</f>
        <v>64.22</v>
      </c>
      <c r="T23" s="71">
        <f>'MAPD PPO'!B12</f>
        <v>200.6</v>
      </c>
      <c r="U23" s="71">
        <f t="shared" ref="U23:U28" si="8">+T23-S23</f>
        <v>136.38</v>
      </c>
      <c r="V23" s="36">
        <f t="shared" ref="V23:X28" si="9">+S23*12</f>
        <v>770.64</v>
      </c>
      <c r="W23" s="36">
        <f t="shared" si="9"/>
        <v>2407.1999999999998</v>
      </c>
      <c r="X23" s="36">
        <f t="shared" si="9"/>
        <v>1636.56</v>
      </c>
    </row>
    <row r="24" spans="1:24" x14ac:dyDescent="0.2">
      <c r="A24" s="58" t="s">
        <v>42</v>
      </c>
      <c r="B24" s="82"/>
      <c r="C24" s="83">
        <v>1757.1979999999999</v>
      </c>
      <c r="D24" s="84">
        <f t="shared" si="7"/>
        <v>1214.6052999999999</v>
      </c>
      <c r="E24" s="54">
        <f t="shared" ref="E24:E28" si="10">+I24+M24</f>
        <v>542.59269999999992</v>
      </c>
      <c r="F24" s="84">
        <f>E24+50</f>
        <v>592.59269999999992</v>
      </c>
      <c r="G24" s="83">
        <f>E24+100</f>
        <v>642.59269999999992</v>
      </c>
      <c r="H24" s="56">
        <f>+(D24-U24)*0.867</f>
        <v>980.67696509999996</v>
      </c>
      <c r="I24" s="56">
        <f>S24</f>
        <v>117.11000000000001</v>
      </c>
      <c r="J24" s="56">
        <f t="shared" ref="J24:J28" si="11">+I24*12</f>
        <v>1405.3200000000002</v>
      </c>
      <c r="K24" s="102">
        <f>U24</f>
        <v>83.489999999999981</v>
      </c>
      <c r="L24" s="56">
        <f t="shared" ref="L24:L28" si="12">+K24*12</f>
        <v>1001.8799999999998</v>
      </c>
      <c r="M24" s="56">
        <f>+S25</f>
        <v>425.48269999999997</v>
      </c>
      <c r="N24" s="56">
        <f t="shared" ref="N24:N28" si="13">+M24*12</f>
        <v>5105.7923999999994</v>
      </c>
      <c r="O24" s="56">
        <f t="shared" ref="O24:O28" si="14">+D24-K24</f>
        <v>1131.1152999999999</v>
      </c>
      <c r="P24" s="56">
        <f t="shared" ref="P24:P29" si="15">+O24*12</f>
        <v>13573.383599999999</v>
      </c>
      <c r="Q24" s="56">
        <f t="shared" ref="Q24:Q29" si="16">+P24+N24</f>
        <v>18679.175999999999</v>
      </c>
      <c r="R24" s="73" t="s">
        <v>73</v>
      </c>
      <c r="S24" s="71">
        <f>'MAPD PPO'!D24-'MAPD PPO'!D23</f>
        <v>117.11000000000001</v>
      </c>
      <c r="T24" s="71">
        <f>'MAPD PPO'!B12</f>
        <v>200.6</v>
      </c>
      <c r="U24" s="71">
        <f t="shared" si="8"/>
        <v>83.489999999999981</v>
      </c>
      <c r="V24" s="36">
        <f t="shared" si="9"/>
        <v>1405.3200000000002</v>
      </c>
      <c r="W24" s="36">
        <f t="shared" si="9"/>
        <v>2407.1999999999998</v>
      </c>
      <c r="X24" s="36">
        <f t="shared" si="9"/>
        <v>1001.8799999999998</v>
      </c>
    </row>
    <row r="25" spans="1:24" x14ac:dyDescent="0.2">
      <c r="A25" s="194" t="s">
        <v>36</v>
      </c>
      <c r="B25" s="194"/>
      <c r="C25" s="195">
        <v>1289.4206999999997</v>
      </c>
      <c r="D25" s="196">
        <f t="shared" si="7"/>
        <v>865.90579999999966</v>
      </c>
      <c r="E25" s="196">
        <f t="shared" si="10"/>
        <v>423.51490000000001</v>
      </c>
      <c r="F25" s="195">
        <f>+E25+50</f>
        <v>473.51490000000001</v>
      </c>
      <c r="G25" s="195">
        <f>+E25+100</f>
        <v>523.51490000000001</v>
      </c>
      <c r="H25" s="197">
        <f>+(D25-U23)*0.867</f>
        <v>632.4988685999997</v>
      </c>
      <c r="I25" s="197">
        <f>S23</f>
        <v>64.22</v>
      </c>
      <c r="J25" s="197">
        <f t="shared" si="11"/>
        <v>770.64</v>
      </c>
      <c r="K25" s="197">
        <f>U23</f>
        <v>136.38</v>
      </c>
      <c r="L25" s="197">
        <f t="shared" si="12"/>
        <v>1636.56</v>
      </c>
      <c r="M25" s="197">
        <f>+S27</f>
        <v>359.29490000000004</v>
      </c>
      <c r="N25" s="197">
        <f t="shared" si="13"/>
        <v>4311.5388000000003</v>
      </c>
      <c r="O25" s="197">
        <f t="shared" si="14"/>
        <v>729.52579999999966</v>
      </c>
      <c r="P25" s="197">
        <f t="shared" si="15"/>
        <v>8754.3095999999969</v>
      </c>
      <c r="Q25" s="197">
        <f t="shared" si="16"/>
        <v>13065.848399999997</v>
      </c>
      <c r="R25" s="73" t="s">
        <v>74</v>
      </c>
      <c r="S25" s="71">
        <f>'NonMCHealth Center'!D23</f>
        <v>425.48269999999997</v>
      </c>
      <c r="T25" s="71">
        <f>'NonMCHealth Center'!B13</f>
        <v>1556.598</v>
      </c>
      <c r="U25" s="71">
        <f t="shared" si="8"/>
        <v>1131.1152999999999</v>
      </c>
      <c r="V25" s="36">
        <f t="shared" si="9"/>
        <v>5105.7923999999994</v>
      </c>
      <c r="W25" s="36">
        <f t="shared" si="9"/>
        <v>18679.175999999999</v>
      </c>
      <c r="X25" s="36">
        <f t="shared" si="9"/>
        <v>13573.383599999999</v>
      </c>
    </row>
    <row r="26" spans="1:24" x14ac:dyDescent="0.2">
      <c r="A26" s="172" t="s">
        <v>43</v>
      </c>
      <c r="B26" s="173"/>
      <c r="C26" s="174">
        <v>3252.8992999999996</v>
      </c>
      <c r="D26" s="175">
        <f t="shared" si="7"/>
        <v>2245.4567999999999</v>
      </c>
      <c r="E26" s="175">
        <f t="shared" si="10"/>
        <v>1007.4424999999999</v>
      </c>
      <c r="F26" s="174">
        <f>+E26+50</f>
        <v>1057.4424999999999</v>
      </c>
      <c r="G26" s="174">
        <f>+E26+100</f>
        <v>1107.4424999999999</v>
      </c>
      <c r="H26" s="176">
        <f>+(D26-U23)*0.867</f>
        <v>1828.5695855999998</v>
      </c>
      <c r="I26" s="176">
        <f>S23</f>
        <v>64.22</v>
      </c>
      <c r="J26" s="176">
        <f t="shared" si="11"/>
        <v>770.64</v>
      </c>
      <c r="K26" s="176">
        <f>U23</f>
        <v>136.38</v>
      </c>
      <c r="L26" s="176">
        <f t="shared" si="12"/>
        <v>1636.56</v>
      </c>
      <c r="M26" s="176">
        <f>+S28</f>
        <v>943.22249999999985</v>
      </c>
      <c r="N26" s="176">
        <f t="shared" si="13"/>
        <v>11318.669999999998</v>
      </c>
      <c r="O26" s="176">
        <f>+U28</f>
        <v>2109.0767999999998</v>
      </c>
      <c r="P26" s="176">
        <f t="shared" si="15"/>
        <v>25308.921599999998</v>
      </c>
      <c r="Q26" s="176">
        <f t="shared" si="16"/>
        <v>36627.5916</v>
      </c>
      <c r="R26" s="73" t="s">
        <v>58</v>
      </c>
      <c r="S26" s="75">
        <f>'NonMCHealth Center'!D24-'NonMCHealth Center'!D23</f>
        <v>535.05410000000006</v>
      </c>
      <c r="T26" s="71">
        <f>'NonMCHealth Center'!B14-'NonMCHealth Center'!B13</f>
        <v>2037.4342000000001</v>
      </c>
      <c r="U26" s="71">
        <f t="shared" si="8"/>
        <v>1502.3801000000001</v>
      </c>
      <c r="V26" s="36">
        <f t="shared" si="9"/>
        <v>6420.6492000000007</v>
      </c>
      <c r="W26" s="36">
        <f t="shared" si="9"/>
        <v>24449.210400000004</v>
      </c>
      <c r="X26" s="36">
        <f t="shared" si="9"/>
        <v>18028.5612</v>
      </c>
    </row>
    <row r="27" spans="1:24" x14ac:dyDescent="0.2">
      <c r="A27" s="58" t="s">
        <v>44</v>
      </c>
      <c r="B27" s="82"/>
      <c r="C27" s="83">
        <v>2846.0186999999996</v>
      </c>
      <c r="D27" s="84">
        <f t="shared" si="7"/>
        <v>1944.1310999999996</v>
      </c>
      <c r="E27" s="54">
        <f t="shared" si="10"/>
        <v>901.88760000000002</v>
      </c>
      <c r="F27" s="84">
        <f>E27+50</f>
        <v>951.88760000000002</v>
      </c>
      <c r="G27" s="83">
        <f>E27+100</f>
        <v>1001.8876</v>
      </c>
      <c r="H27" s="55">
        <f>+(D27-U24)*0.867</f>
        <v>1613.1758336999997</v>
      </c>
      <c r="I27" s="55">
        <f>S24</f>
        <v>117.11000000000001</v>
      </c>
      <c r="J27" s="56">
        <f t="shared" si="11"/>
        <v>1405.3200000000002</v>
      </c>
      <c r="K27" s="55">
        <f>U24</f>
        <v>83.489999999999981</v>
      </c>
      <c r="L27" s="56">
        <f t="shared" si="12"/>
        <v>1001.8799999999998</v>
      </c>
      <c r="M27" s="56">
        <f>+S25+S27</f>
        <v>784.77760000000001</v>
      </c>
      <c r="N27" s="56">
        <f t="shared" si="13"/>
        <v>9417.3312000000005</v>
      </c>
      <c r="O27" s="56">
        <f t="shared" si="14"/>
        <v>1860.6410999999996</v>
      </c>
      <c r="P27" s="56">
        <f t="shared" si="15"/>
        <v>22327.693199999994</v>
      </c>
      <c r="Q27" s="56">
        <f t="shared" si="16"/>
        <v>31745.024399999995</v>
      </c>
      <c r="R27" s="73" t="s">
        <v>59</v>
      </c>
      <c r="S27" s="75">
        <f>'NonMCHealth Center'!D25-'NonMCHealth Center'!D23</f>
        <v>359.29490000000004</v>
      </c>
      <c r="T27" s="71">
        <f>'NonMCHealth Center'!B15-'NonMCHealth Center'!B13</f>
        <v>1088.8206999999998</v>
      </c>
      <c r="U27" s="71">
        <f t="shared" si="8"/>
        <v>729.52579999999966</v>
      </c>
      <c r="V27" s="36">
        <f t="shared" si="9"/>
        <v>4311.5388000000003</v>
      </c>
      <c r="W27" s="36">
        <f t="shared" si="9"/>
        <v>13065.848399999997</v>
      </c>
      <c r="X27" s="36">
        <f t="shared" si="9"/>
        <v>8754.3095999999969</v>
      </c>
    </row>
    <row r="28" spans="1:24" x14ac:dyDescent="0.2">
      <c r="A28" s="198" t="s">
        <v>45</v>
      </c>
      <c r="B28" s="199"/>
      <c r="C28" s="200">
        <v>1490.0206999999998</v>
      </c>
      <c r="D28" s="201">
        <f t="shared" si="7"/>
        <v>949.39579999999978</v>
      </c>
      <c r="E28" s="201">
        <f t="shared" si="10"/>
        <v>540.62490000000003</v>
      </c>
      <c r="F28" s="200">
        <f>+E28+50</f>
        <v>590.62490000000003</v>
      </c>
      <c r="G28" s="200">
        <f>+E28+100</f>
        <v>640.62490000000003</v>
      </c>
      <c r="H28" s="200">
        <f>+(D28-U23-U24)*0.867</f>
        <v>632.49886859999981</v>
      </c>
      <c r="I28" s="200">
        <f>S23+S24</f>
        <v>181.33</v>
      </c>
      <c r="J28" s="202">
        <f t="shared" si="11"/>
        <v>2175.96</v>
      </c>
      <c r="K28" s="200">
        <f>U23+U24</f>
        <v>219.86999999999998</v>
      </c>
      <c r="L28" s="202">
        <f t="shared" si="12"/>
        <v>2638.4399999999996</v>
      </c>
      <c r="M28" s="202">
        <f>+S27</f>
        <v>359.29490000000004</v>
      </c>
      <c r="N28" s="202">
        <f t="shared" si="13"/>
        <v>4311.5388000000003</v>
      </c>
      <c r="O28" s="202">
        <f t="shared" si="14"/>
        <v>729.52579999999978</v>
      </c>
      <c r="P28" s="202">
        <f t="shared" si="15"/>
        <v>8754.3095999999969</v>
      </c>
      <c r="Q28" s="202">
        <f t="shared" si="16"/>
        <v>13065.848399999997</v>
      </c>
      <c r="R28" s="74" t="s">
        <v>60</v>
      </c>
      <c r="S28" s="75">
        <f>'NonMCHealth Center'!D26-'NonMCHealth Center'!D23</f>
        <v>943.22249999999985</v>
      </c>
      <c r="T28" s="71">
        <f>'NonMCHealth Center'!B16-'NonMCHealth Center'!B13</f>
        <v>3052.2992999999997</v>
      </c>
      <c r="U28" s="71">
        <f t="shared" si="8"/>
        <v>2109.0767999999998</v>
      </c>
      <c r="V28" s="36">
        <f t="shared" si="9"/>
        <v>11318.669999999998</v>
      </c>
      <c r="W28" s="36">
        <f t="shared" si="9"/>
        <v>36627.5916</v>
      </c>
      <c r="X28" s="36">
        <f t="shared" si="9"/>
        <v>25308.921599999998</v>
      </c>
    </row>
    <row r="29" spans="1:24" x14ac:dyDescent="0.2">
      <c r="A29" s="203" t="s">
        <v>98</v>
      </c>
      <c r="B29" s="204"/>
      <c r="C29" s="179">
        <v>1957.7979999999998</v>
      </c>
      <c r="D29" s="179">
        <f>+U25+U24+U24</f>
        <v>1298.0953</v>
      </c>
      <c r="E29" s="179">
        <v>697.86</v>
      </c>
      <c r="F29" s="205"/>
      <c r="G29" s="178"/>
      <c r="H29" s="179"/>
      <c r="I29" s="179">
        <f>+S24+S24</f>
        <v>234.22000000000003</v>
      </c>
      <c r="J29" s="179">
        <f>+I29*12</f>
        <v>2810.6400000000003</v>
      </c>
      <c r="K29" s="179">
        <f>+U24+U24</f>
        <v>166.97999999999996</v>
      </c>
      <c r="L29" s="179">
        <f>+K29*12</f>
        <v>2003.7599999999995</v>
      </c>
      <c r="M29" s="179">
        <f>+S25</f>
        <v>425.48269999999997</v>
      </c>
      <c r="N29" s="179">
        <f>+M29*12</f>
        <v>5105.7923999999994</v>
      </c>
      <c r="O29" s="179">
        <f>+U25</f>
        <v>1131.1152999999999</v>
      </c>
      <c r="P29" s="179">
        <f>+O29*12</f>
        <v>13573.383599999999</v>
      </c>
      <c r="Q29" s="179">
        <f t="shared" si="16"/>
        <v>18679.175999999999</v>
      </c>
      <c r="R29" s="43"/>
      <c r="S29" s="75"/>
    </row>
    <row r="30" spans="1:24" x14ac:dyDescent="0.2">
      <c r="C30" s="53"/>
      <c r="D30" s="62"/>
      <c r="E30" s="62"/>
      <c r="I30" s="53">
        <f>+S23+S24+S24</f>
        <v>298.44000000000005</v>
      </c>
      <c r="J30" s="53">
        <f>+I30*12</f>
        <v>3581.2800000000007</v>
      </c>
      <c r="K30" s="53">
        <f>+U23+U24+U24</f>
        <v>303.35999999999996</v>
      </c>
      <c r="L30" s="53">
        <f>+K30*12</f>
        <v>3640.3199999999997</v>
      </c>
      <c r="M30" s="53">
        <f>+L30+J30</f>
        <v>7221.6</v>
      </c>
      <c r="S30" s="71">
        <f>+S27+S24</f>
        <v>476.40490000000005</v>
      </c>
      <c r="T30" s="71">
        <f>+T27+T24</f>
        <v>1289.4206999999997</v>
      </c>
      <c r="U30" s="71">
        <f>+U27+U24</f>
        <v>813.01579999999967</v>
      </c>
    </row>
    <row r="31" spans="1:24" x14ac:dyDescent="0.2">
      <c r="D31" s="63"/>
      <c r="E31" s="63"/>
      <c r="R31" s="67"/>
      <c r="S31" s="75"/>
    </row>
    <row r="32" spans="1:24" x14ac:dyDescent="0.2">
      <c r="A32" s="43" t="s">
        <v>6</v>
      </c>
      <c r="D32" s="63"/>
      <c r="E32" s="63"/>
      <c r="R32" s="53"/>
      <c r="S32" s="75"/>
    </row>
    <row r="33" spans="1:24" x14ac:dyDescent="0.2">
      <c r="A33" s="43" t="s">
        <v>10</v>
      </c>
      <c r="D33" s="63"/>
      <c r="E33" s="63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53"/>
      <c r="S33" s="75"/>
    </row>
    <row r="34" spans="1:24" x14ac:dyDescent="0.2">
      <c r="D34" s="63"/>
      <c r="E34" s="63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67"/>
      <c r="S34" s="75"/>
    </row>
    <row r="35" spans="1:24" x14ac:dyDescent="0.2">
      <c r="A35" s="49" t="s">
        <v>33</v>
      </c>
      <c r="D35" s="63"/>
      <c r="E35" s="63"/>
      <c r="H35" s="67"/>
      <c r="I35" s="67"/>
      <c r="J35" s="67"/>
      <c r="K35" s="67"/>
      <c r="L35" s="67"/>
      <c r="M35" s="67"/>
      <c r="N35" s="67"/>
      <c r="O35" s="67"/>
      <c r="P35" s="67"/>
      <c r="Q35" s="67"/>
      <c r="S35" s="75"/>
      <c r="T35" s="79"/>
      <c r="V35" s="68" t="s">
        <v>75</v>
      </c>
      <c r="W35" s="68" t="s">
        <v>52</v>
      </c>
      <c r="X35" s="87" t="s">
        <v>53</v>
      </c>
    </row>
    <row r="36" spans="1:24" x14ac:dyDescent="0.2">
      <c r="A36" s="192" t="s">
        <v>34</v>
      </c>
      <c r="B36" s="191"/>
      <c r="C36" s="189">
        <v>2238.0342000000001</v>
      </c>
      <c r="D36" s="190">
        <f t="shared" ref="D36:D41" si="17">+C36-E36</f>
        <v>1743.0802999999999</v>
      </c>
      <c r="E36" s="190">
        <f>+I36+M36</f>
        <v>494.9539000000002</v>
      </c>
      <c r="F36" s="189">
        <f>+E36+50</f>
        <v>544.9539000000002</v>
      </c>
      <c r="G36" s="189">
        <f>+E36+100</f>
        <v>594.9539000000002</v>
      </c>
      <c r="H36" s="193">
        <f>+(D36-U36)*0.867</f>
        <v>1455.5718800999998</v>
      </c>
      <c r="I36" s="193">
        <f>+S36</f>
        <v>136.38</v>
      </c>
      <c r="J36" s="193">
        <f>+I36*12</f>
        <v>1636.56</v>
      </c>
      <c r="K36" s="193">
        <f>+U36</f>
        <v>64.22</v>
      </c>
      <c r="L36" s="193">
        <f>+K36*12</f>
        <v>770.64</v>
      </c>
      <c r="M36" s="193">
        <f>+S39</f>
        <v>358.57390000000021</v>
      </c>
      <c r="N36" s="193">
        <f>+M36*12</f>
        <v>4302.886800000002</v>
      </c>
      <c r="O36" s="193">
        <f>+D36-K36</f>
        <v>1678.8602999999998</v>
      </c>
      <c r="P36" s="193">
        <f>+O36*12</f>
        <v>20146.323599999996</v>
      </c>
      <c r="Q36" s="193">
        <f>+P36+N36</f>
        <v>24449.210399999996</v>
      </c>
      <c r="R36" s="73" t="s">
        <v>57</v>
      </c>
      <c r="S36" s="68">
        <f>'MAPD PPO'!D34</f>
        <v>136.38</v>
      </c>
      <c r="T36" s="71">
        <v>200.6</v>
      </c>
      <c r="U36" s="71">
        <f t="shared" ref="U36:U41" si="18">+T36-S36</f>
        <v>64.22</v>
      </c>
      <c r="V36" s="36">
        <f t="shared" ref="V36:X41" si="19">+S36*12</f>
        <v>1636.56</v>
      </c>
      <c r="W36" s="36">
        <f t="shared" si="19"/>
        <v>2407.1999999999998</v>
      </c>
      <c r="X36" s="36">
        <f t="shared" si="19"/>
        <v>770.64</v>
      </c>
    </row>
    <row r="37" spans="1:24" x14ac:dyDescent="0.2">
      <c r="A37" s="58" t="s">
        <v>89</v>
      </c>
      <c r="B37" s="82"/>
      <c r="C37" s="83">
        <v>1757.1979999999999</v>
      </c>
      <c r="D37" s="84">
        <f t="shared" si="17"/>
        <v>874.27649999999983</v>
      </c>
      <c r="E37" s="54">
        <f t="shared" ref="E37:E41" si="20">+I37+M37</f>
        <v>882.92150000000004</v>
      </c>
      <c r="F37" s="84">
        <f>E37+50</f>
        <v>932.92150000000004</v>
      </c>
      <c r="G37" s="83">
        <f>E37+100</f>
        <v>982.92150000000004</v>
      </c>
      <c r="H37" s="56">
        <f>+(D37-U37)*0.867</f>
        <v>667.26617549999992</v>
      </c>
      <c r="I37" s="56">
        <f>S37</f>
        <v>95.950000000000017</v>
      </c>
      <c r="J37" s="56">
        <f t="shared" ref="J37:J41" si="21">+I37*12</f>
        <v>1151.4000000000001</v>
      </c>
      <c r="K37" s="102">
        <f>U37</f>
        <v>104.64999999999998</v>
      </c>
      <c r="L37" s="56">
        <f>+K37*12</f>
        <v>1255.7999999999997</v>
      </c>
      <c r="M37" s="56">
        <f>+S38</f>
        <v>786.97149999999999</v>
      </c>
      <c r="N37" s="56">
        <f t="shared" ref="N37:N41" si="22">+M37*12</f>
        <v>9443.6579999999994</v>
      </c>
      <c r="O37" s="56">
        <f t="shared" ref="O37:O41" si="23">+D37-K37</f>
        <v>769.62649999999985</v>
      </c>
      <c r="P37" s="56">
        <f t="shared" ref="P37:P42" si="24">+O37*12</f>
        <v>9235.5179999999982</v>
      </c>
      <c r="Q37" s="56">
        <f t="shared" ref="Q37:Q42" si="25">+P37+N37</f>
        <v>18679.175999999999</v>
      </c>
      <c r="R37" s="73" t="s">
        <v>73</v>
      </c>
      <c r="S37" s="71">
        <f>'MAPD PPO'!D35-'MAPD PPO'!D34</f>
        <v>95.950000000000017</v>
      </c>
      <c r="T37" s="71">
        <v>200.6</v>
      </c>
      <c r="U37" s="71">
        <f t="shared" si="18"/>
        <v>104.64999999999998</v>
      </c>
      <c r="V37" s="36">
        <f t="shared" si="19"/>
        <v>1151.4000000000001</v>
      </c>
      <c r="W37" s="36">
        <f t="shared" si="19"/>
        <v>2407.1999999999998</v>
      </c>
      <c r="X37" s="36">
        <f t="shared" si="19"/>
        <v>1255.7999999999997</v>
      </c>
    </row>
    <row r="38" spans="1:24" x14ac:dyDescent="0.2">
      <c r="A38" s="167" t="s">
        <v>36</v>
      </c>
      <c r="B38" s="168"/>
      <c r="C38" s="169">
        <v>1289.4206999999997</v>
      </c>
      <c r="D38" s="170">
        <f t="shared" si="17"/>
        <v>860.86059999999952</v>
      </c>
      <c r="E38" s="170">
        <f t="shared" si="20"/>
        <v>428.56010000000015</v>
      </c>
      <c r="F38" s="169">
        <f>+E38+50</f>
        <v>478.56010000000015</v>
      </c>
      <c r="G38" s="169">
        <f>+E38+100</f>
        <v>528.56010000000015</v>
      </c>
      <c r="H38" s="171">
        <f>+(D38-U36)*0.867</f>
        <v>690.6874001999995</v>
      </c>
      <c r="I38" s="171">
        <f>S36</f>
        <v>136.38</v>
      </c>
      <c r="J38" s="171">
        <f t="shared" si="21"/>
        <v>1636.56</v>
      </c>
      <c r="K38" s="171">
        <f>U36</f>
        <v>64.22</v>
      </c>
      <c r="L38" s="171">
        <f t="shared" ref="L37:L41" si="26">+K38*12</f>
        <v>770.64</v>
      </c>
      <c r="M38" s="171">
        <f>+S40</f>
        <v>292.18010000000015</v>
      </c>
      <c r="N38" s="171">
        <f t="shared" si="22"/>
        <v>3506.1612000000018</v>
      </c>
      <c r="O38" s="171">
        <f t="shared" si="23"/>
        <v>796.64059999999949</v>
      </c>
      <c r="P38" s="171">
        <f t="shared" si="24"/>
        <v>9559.687199999993</v>
      </c>
      <c r="Q38" s="171">
        <f t="shared" si="25"/>
        <v>13065.848399999995</v>
      </c>
      <c r="R38" s="73" t="s">
        <v>74</v>
      </c>
      <c r="S38" s="71">
        <f>'NonMCHealth Center'!D33</f>
        <v>786.97149999999999</v>
      </c>
      <c r="T38" s="71">
        <f>'NonMCHealth Center'!B33</f>
        <v>1556.598</v>
      </c>
      <c r="U38" s="71">
        <f t="shared" si="18"/>
        <v>769.62649999999996</v>
      </c>
      <c r="V38" s="36">
        <f t="shared" si="19"/>
        <v>9443.6579999999994</v>
      </c>
      <c r="W38" s="36">
        <f t="shared" si="19"/>
        <v>18679.175999999999</v>
      </c>
      <c r="X38" s="36">
        <f t="shared" si="19"/>
        <v>9235.518</v>
      </c>
    </row>
    <row r="39" spans="1:24" x14ac:dyDescent="0.2">
      <c r="A39" s="206" t="s">
        <v>43</v>
      </c>
      <c r="B39" s="194"/>
      <c r="C39" s="195">
        <v>3252.8992999999996</v>
      </c>
      <c r="D39" s="196">
        <f t="shared" si="17"/>
        <v>2410.2997999999998</v>
      </c>
      <c r="E39" s="196">
        <f t="shared" si="20"/>
        <v>842.59950000000003</v>
      </c>
      <c r="F39" s="195">
        <f>+E39+50</f>
        <v>892.59950000000003</v>
      </c>
      <c r="G39" s="195">
        <f>+E39+100</f>
        <v>942.59950000000003</v>
      </c>
      <c r="H39" s="197">
        <f>+(D39-U36)*0.867</f>
        <v>2034.0511865999999</v>
      </c>
      <c r="I39" s="197">
        <f>S36</f>
        <v>136.38</v>
      </c>
      <c r="J39" s="197">
        <f t="shared" si="21"/>
        <v>1636.56</v>
      </c>
      <c r="K39" s="197">
        <f>U36</f>
        <v>64.22</v>
      </c>
      <c r="L39" s="197">
        <f t="shared" si="26"/>
        <v>770.64</v>
      </c>
      <c r="M39" s="197">
        <f>+S41</f>
        <v>706.21950000000004</v>
      </c>
      <c r="N39" s="197">
        <f t="shared" si="22"/>
        <v>8474.634</v>
      </c>
      <c r="O39" s="197">
        <f>+U41</f>
        <v>2346.0797999999995</v>
      </c>
      <c r="P39" s="197">
        <f t="shared" si="24"/>
        <v>28152.957599999994</v>
      </c>
      <c r="Q39" s="197">
        <f t="shared" si="25"/>
        <v>36627.591599999992</v>
      </c>
      <c r="R39" s="73" t="s">
        <v>58</v>
      </c>
      <c r="S39" s="75">
        <f>'NonMCHealth Center'!D34-'NonMCHealth Center'!D33</f>
        <v>358.57390000000021</v>
      </c>
      <c r="T39" s="71">
        <f>+'NonMCHealth Center'!C34-'NonMCHealth Center'!C33</f>
        <v>1678.8602999999998</v>
      </c>
      <c r="U39" s="71">
        <f t="shared" si="18"/>
        <v>1320.2863999999995</v>
      </c>
      <c r="V39" s="36">
        <f t="shared" si="19"/>
        <v>4302.886800000002</v>
      </c>
      <c r="W39" s="36">
        <f t="shared" si="19"/>
        <v>20146.323599999996</v>
      </c>
      <c r="X39" s="36">
        <f t="shared" si="19"/>
        <v>15843.436799999994</v>
      </c>
    </row>
    <row r="40" spans="1:24" x14ac:dyDescent="0.2">
      <c r="A40" s="58" t="s">
        <v>44</v>
      </c>
      <c r="B40" s="82"/>
      <c r="C40" s="83">
        <v>2846.0186999999996</v>
      </c>
      <c r="D40" s="84">
        <f t="shared" si="17"/>
        <v>1670.9170999999994</v>
      </c>
      <c r="E40" s="54">
        <f t="shared" si="20"/>
        <v>1175.1016000000002</v>
      </c>
      <c r="F40" s="84">
        <f>E40+50</f>
        <v>1225.1016000000002</v>
      </c>
      <c r="G40" s="83">
        <f>E40+100</f>
        <v>1275.1016000000002</v>
      </c>
      <c r="H40" s="55">
        <f>+(D40-U37)*0.867</f>
        <v>1357.9535756999996</v>
      </c>
      <c r="I40" s="55">
        <f>S37</f>
        <v>95.950000000000017</v>
      </c>
      <c r="J40" s="56">
        <f t="shared" si="21"/>
        <v>1151.4000000000001</v>
      </c>
      <c r="K40" s="55">
        <f>U37</f>
        <v>104.64999999999998</v>
      </c>
      <c r="L40" s="56">
        <f t="shared" si="26"/>
        <v>1255.7999999999997</v>
      </c>
      <c r="M40" s="56">
        <f>+S40+S38</f>
        <v>1079.1516000000001</v>
      </c>
      <c r="N40" s="56">
        <f t="shared" si="22"/>
        <v>12949.819200000002</v>
      </c>
      <c r="O40" s="56">
        <f t="shared" si="23"/>
        <v>1566.2670999999996</v>
      </c>
      <c r="P40" s="56">
        <f t="shared" si="24"/>
        <v>18795.205199999997</v>
      </c>
      <c r="Q40" s="56">
        <f t="shared" si="25"/>
        <v>31745.024399999998</v>
      </c>
      <c r="R40" s="73" t="s">
        <v>59</v>
      </c>
      <c r="S40" s="75">
        <f>'NonMCHealth Center'!D35-'NonMCHealth Center'!D33</f>
        <v>292.18010000000015</v>
      </c>
      <c r="T40" s="71">
        <f>+'NonMCHealth Center'!C35-'NonMCHealth Center'!C33</f>
        <v>796.64059999999961</v>
      </c>
      <c r="U40" s="71">
        <f t="shared" si="18"/>
        <v>504.46049999999946</v>
      </c>
      <c r="V40" s="36">
        <f t="shared" si="19"/>
        <v>3506.1612000000018</v>
      </c>
      <c r="W40" s="36">
        <f t="shared" si="19"/>
        <v>9559.6871999999948</v>
      </c>
      <c r="X40" s="36">
        <f t="shared" si="19"/>
        <v>6053.5259999999935</v>
      </c>
    </row>
    <row r="41" spans="1:24" x14ac:dyDescent="0.2">
      <c r="A41" s="182" t="s">
        <v>45</v>
      </c>
      <c r="B41" s="183"/>
      <c r="C41" s="184">
        <v>1490.0206999999998</v>
      </c>
      <c r="D41" s="185">
        <f t="shared" si="17"/>
        <v>965.51059999999961</v>
      </c>
      <c r="E41" s="185">
        <f t="shared" si="20"/>
        <v>524.51010000000019</v>
      </c>
      <c r="F41" s="184">
        <f>+E41+50</f>
        <v>574.51010000000019</v>
      </c>
      <c r="G41" s="184">
        <f>+E41+100</f>
        <v>624.51010000000019</v>
      </c>
      <c r="H41" s="184">
        <f>+(D41-U36-U37)*0.867</f>
        <v>690.68740019999962</v>
      </c>
      <c r="I41" s="184">
        <f>S36+S37</f>
        <v>232.33</v>
      </c>
      <c r="J41" s="186">
        <f t="shared" si="21"/>
        <v>2787.96</v>
      </c>
      <c r="K41" s="184">
        <f>U36+U37</f>
        <v>168.86999999999998</v>
      </c>
      <c r="L41" s="186">
        <f t="shared" si="26"/>
        <v>2026.4399999999996</v>
      </c>
      <c r="M41" s="186">
        <f>+S40</f>
        <v>292.18010000000015</v>
      </c>
      <c r="N41" s="186">
        <f t="shared" si="22"/>
        <v>3506.1612000000018</v>
      </c>
      <c r="O41" s="186">
        <f t="shared" si="23"/>
        <v>796.64059999999961</v>
      </c>
      <c r="P41" s="186">
        <f t="shared" si="24"/>
        <v>9559.6871999999948</v>
      </c>
      <c r="Q41" s="186">
        <f t="shared" si="25"/>
        <v>13065.848399999997</v>
      </c>
      <c r="R41" s="74" t="s">
        <v>60</v>
      </c>
      <c r="S41" s="75">
        <f>'NonMCHealth Center'!D36-'NonMCHealth Center'!D33</f>
        <v>706.21950000000004</v>
      </c>
      <c r="T41" s="71">
        <f>+'NonMCHealth Center'!B36-'NonMCHealth Center'!B33</f>
        <v>3052.2992999999997</v>
      </c>
      <c r="U41" s="71">
        <f t="shared" si="18"/>
        <v>2346.0797999999995</v>
      </c>
      <c r="V41" s="36">
        <f t="shared" si="19"/>
        <v>8474.634</v>
      </c>
      <c r="W41" s="36">
        <f t="shared" si="19"/>
        <v>36627.5916</v>
      </c>
      <c r="X41" s="36">
        <f t="shared" si="19"/>
        <v>28152.957599999994</v>
      </c>
    </row>
    <row r="42" spans="1:24" x14ac:dyDescent="0.2">
      <c r="A42" s="203" t="s">
        <v>98</v>
      </c>
      <c r="B42" s="204"/>
      <c r="C42" s="179">
        <v>1957.7979999999998</v>
      </c>
      <c r="D42" s="179">
        <f>+U38+U37+U37</f>
        <v>978.92649999999992</v>
      </c>
      <c r="E42" s="179">
        <v>697.86</v>
      </c>
      <c r="F42" s="205"/>
      <c r="G42" s="178"/>
      <c r="H42" s="179"/>
      <c r="I42" s="179">
        <f>+S37+S37</f>
        <v>191.90000000000003</v>
      </c>
      <c r="J42" s="179">
        <f>+I42*12</f>
        <v>2302.8000000000002</v>
      </c>
      <c r="K42" s="179">
        <f>+U37+U37</f>
        <v>209.29999999999995</v>
      </c>
      <c r="L42" s="179">
        <f>+K42*12</f>
        <v>2511.5999999999995</v>
      </c>
      <c r="M42" s="179">
        <f>S38</f>
        <v>786.97149999999999</v>
      </c>
      <c r="N42" s="179">
        <f>+M42*12</f>
        <v>9443.6579999999994</v>
      </c>
      <c r="O42" s="179">
        <f>+U38</f>
        <v>769.62649999999996</v>
      </c>
      <c r="P42" s="179">
        <f t="shared" si="24"/>
        <v>9235.518</v>
      </c>
      <c r="Q42" s="179">
        <f t="shared" si="25"/>
        <v>18679.175999999999</v>
      </c>
      <c r="R42" s="67"/>
      <c r="S42" s="69"/>
    </row>
    <row r="43" spans="1:24" x14ac:dyDescent="0.2">
      <c r="A43" s="61"/>
      <c r="B43" s="43"/>
      <c r="C43" s="53"/>
      <c r="D43" s="53"/>
      <c r="E43" s="53"/>
      <c r="F43" s="50"/>
      <c r="I43" s="53">
        <f>+S36+S37+S37</f>
        <v>328.28000000000003</v>
      </c>
      <c r="J43" s="53">
        <f>+I43*12</f>
        <v>3939.3600000000006</v>
      </c>
      <c r="K43" s="53">
        <f>+U36+U37+U37</f>
        <v>273.52</v>
      </c>
      <c r="L43" s="53">
        <f>+K43*12</f>
        <v>3282.24</v>
      </c>
      <c r="M43" s="53">
        <f>+L43+J43</f>
        <v>7221.6</v>
      </c>
      <c r="R43" s="67"/>
      <c r="S43" s="71">
        <f>+S40+S37</f>
        <v>388.1301000000002</v>
      </c>
      <c r="T43" s="71">
        <f>+T40+T37</f>
        <v>997.24059999999963</v>
      </c>
      <c r="U43" s="71">
        <f>+U40+U37</f>
        <v>609.11049999999943</v>
      </c>
    </row>
    <row r="44" spans="1:24" x14ac:dyDescent="0.2">
      <c r="A44" s="61"/>
      <c r="B44" s="43"/>
      <c r="C44" s="53"/>
      <c r="D44" s="53"/>
      <c r="E44" s="53"/>
      <c r="F44" s="50"/>
      <c r="R44" s="53"/>
      <c r="S44" s="68"/>
      <c r="U44" s="71"/>
    </row>
    <row r="45" spans="1:24" x14ac:dyDescent="0.2">
      <c r="A45" s="61" t="s">
        <v>61</v>
      </c>
      <c r="C45" s="53"/>
      <c r="D45" s="62"/>
      <c r="E45" s="62"/>
      <c r="F45" s="5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53"/>
    </row>
    <row r="46" spans="1:24" x14ac:dyDescent="0.2">
      <c r="A46" s="60" t="s">
        <v>37</v>
      </c>
      <c r="C46" s="53">
        <f>+T12+T15</f>
        <v>1289.4206999999997</v>
      </c>
      <c r="D46" s="54">
        <f>+C46-E46</f>
        <v>777.86849999999959</v>
      </c>
      <c r="E46" s="54">
        <f>+S15+S12</f>
        <v>511.55220000000008</v>
      </c>
      <c r="F46" s="55">
        <f>+E46+50</f>
        <v>561.55220000000008</v>
      </c>
      <c r="G46" s="53">
        <f>+E46+100</f>
        <v>611.55220000000008</v>
      </c>
      <c r="H46" s="53">
        <f>+(D46-U12)*0.867</f>
        <v>621.9411494999996</v>
      </c>
      <c r="R46" s="65"/>
      <c r="S46" s="68"/>
      <c r="T46" s="69"/>
    </row>
    <row r="47" spans="1:24" x14ac:dyDescent="0.2">
      <c r="A47" s="72"/>
      <c r="B47" s="50"/>
      <c r="C47" s="70"/>
      <c r="D47" s="65"/>
      <c r="E47" s="65"/>
      <c r="H47" s="66"/>
      <c r="I47" s="66"/>
      <c r="J47" s="66"/>
      <c r="K47" s="66"/>
      <c r="L47" s="66"/>
      <c r="M47" s="66"/>
      <c r="N47" s="66"/>
      <c r="O47" s="66"/>
      <c r="P47" s="66"/>
      <c r="Q47" s="66"/>
      <c r="S47" s="68"/>
      <c r="T47" s="68"/>
    </row>
    <row r="48" spans="1:24" x14ac:dyDescent="0.2">
      <c r="A48" s="61"/>
      <c r="B48" s="43"/>
      <c r="C48" s="53"/>
      <c r="D48" s="53"/>
      <c r="E48" s="65"/>
      <c r="R48" s="53"/>
      <c r="S48" s="68"/>
    </row>
    <row r="49" spans="1:20" x14ac:dyDescent="0.2">
      <c r="A49" s="61"/>
      <c r="C49" s="53"/>
      <c r="D49" s="62"/>
      <c r="E49" s="62"/>
      <c r="R49" s="53"/>
      <c r="S49" s="68"/>
      <c r="T49" s="79"/>
    </row>
    <row r="50" spans="1:20" x14ac:dyDescent="0.2">
      <c r="A50" s="61"/>
      <c r="R50" s="53"/>
      <c r="S50" s="68"/>
      <c r="T50" s="79"/>
    </row>
    <row r="51" spans="1:20" x14ac:dyDescent="0.2">
      <c r="S51" s="68"/>
      <c r="T51" s="79"/>
    </row>
    <row r="52" spans="1:20" x14ac:dyDescent="0.2">
      <c r="H52" s="67"/>
      <c r="I52" s="67"/>
      <c r="J52" s="67"/>
      <c r="K52" s="67"/>
      <c r="L52" s="67"/>
      <c r="M52" s="67"/>
      <c r="N52" s="67"/>
      <c r="O52" s="67"/>
      <c r="P52" s="67"/>
      <c r="Q52" s="67"/>
      <c r="S52" s="68"/>
      <c r="T52" s="79"/>
    </row>
    <row r="53" spans="1:20" x14ac:dyDescent="0.2">
      <c r="H53" s="70"/>
      <c r="I53" s="70"/>
      <c r="J53" s="70"/>
      <c r="K53" s="70"/>
      <c r="L53" s="70"/>
      <c r="M53" s="70"/>
      <c r="N53" s="70"/>
      <c r="O53" s="70"/>
      <c r="P53" s="70"/>
      <c r="Q53" s="70"/>
      <c r="S53" s="68"/>
    </row>
    <row r="54" spans="1:20" x14ac:dyDescent="0.2">
      <c r="R54" s="53"/>
      <c r="S54" s="68"/>
    </row>
    <row r="55" spans="1:20" x14ac:dyDescent="0.2"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53"/>
      <c r="S55" s="68"/>
      <c r="T55" s="69"/>
    </row>
    <row r="56" spans="1:20" x14ac:dyDescent="0.2"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53"/>
      <c r="S56" s="68"/>
      <c r="T56" s="79"/>
    </row>
    <row r="57" spans="1:20" x14ac:dyDescent="0.2"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53"/>
      <c r="S57" s="68"/>
    </row>
    <row r="58" spans="1:20" x14ac:dyDescent="0.2"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53"/>
      <c r="S58" s="68"/>
    </row>
    <row r="59" spans="1:20" x14ac:dyDescent="0.2"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53"/>
      <c r="S59" s="68"/>
      <c r="T59" s="79"/>
    </row>
    <row r="60" spans="1:20" x14ac:dyDescent="0.2"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53"/>
      <c r="S60" s="68"/>
      <c r="T60" s="79"/>
    </row>
    <row r="61" spans="1:20" x14ac:dyDescent="0.2">
      <c r="R61" s="53"/>
      <c r="S61" s="68"/>
      <c r="T61" s="79"/>
    </row>
    <row r="62" spans="1:20" x14ac:dyDescent="0.2">
      <c r="R62" s="53"/>
      <c r="S62" s="68"/>
      <c r="T62" s="79"/>
    </row>
    <row r="63" spans="1:20" x14ac:dyDescent="0.2">
      <c r="R63" s="53"/>
      <c r="S63" s="68"/>
      <c r="T63" s="79"/>
    </row>
    <row r="64" spans="1:20" x14ac:dyDescent="0.2"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68"/>
    </row>
    <row r="65" spans="8:20" x14ac:dyDescent="0.2">
      <c r="R65" s="53"/>
      <c r="S65" s="68"/>
    </row>
    <row r="66" spans="8:20" x14ac:dyDescent="0.2"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53"/>
      <c r="S66" s="68"/>
    </row>
    <row r="67" spans="8:20" x14ac:dyDescent="0.2">
      <c r="R67" s="53"/>
      <c r="S67" s="68"/>
      <c r="T67" s="79"/>
    </row>
    <row r="68" spans="8:20" x14ac:dyDescent="0.2">
      <c r="R68" s="53"/>
      <c r="S68" s="68"/>
    </row>
  </sheetData>
  <mergeCells count="5">
    <mergeCell ref="C5:E5"/>
    <mergeCell ref="H6:H8"/>
    <mergeCell ref="A1:G1"/>
    <mergeCell ref="A2:G2"/>
    <mergeCell ref="F5:G5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67"/>
  <sheetViews>
    <sheetView topLeftCell="A16" workbookViewId="0">
      <selection activeCell="O26" sqref="O26"/>
    </sheetView>
  </sheetViews>
  <sheetFormatPr defaultColWidth="9.140625" defaultRowHeight="12.75" x14ac:dyDescent="0.2"/>
  <cols>
    <col min="1" max="1" width="49.5703125" style="36" bestFit="1" customWidth="1"/>
    <col min="2" max="2" width="9.140625" style="36"/>
    <col min="3" max="3" width="11.28515625" style="36" bestFit="1" customWidth="1"/>
    <col min="4" max="5" width="14.42578125" style="36" bestFit="1" customWidth="1"/>
    <col min="6" max="7" width="14.7109375" style="36" hidden="1" customWidth="1"/>
    <col min="8" max="8" width="18.42578125" style="53" hidden="1" customWidth="1"/>
    <col min="9" max="15" width="18.42578125" style="53" customWidth="1"/>
    <col min="16" max="16" width="24.85546875" style="36" bestFit="1" customWidth="1"/>
    <col min="17" max="18" width="9.140625" style="71"/>
    <col min="19" max="16384" width="9.140625" style="36"/>
  </cols>
  <sheetData>
    <row r="1" spans="1:22" ht="18" x14ac:dyDescent="0.25">
      <c r="A1" s="163" t="s">
        <v>113</v>
      </c>
      <c r="B1" s="163"/>
      <c r="C1" s="163"/>
      <c r="D1" s="163"/>
      <c r="E1" s="163"/>
      <c r="F1" s="163"/>
      <c r="G1" s="163"/>
      <c r="H1" s="37"/>
      <c r="I1" s="37"/>
      <c r="J1" s="37"/>
      <c r="K1" s="37"/>
      <c r="L1" s="37"/>
      <c r="M1" s="37"/>
      <c r="N1" s="37"/>
      <c r="O1" s="37"/>
      <c r="P1" s="35"/>
    </row>
    <row r="2" spans="1:22" ht="18" x14ac:dyDescent="0.25">
      <c r="A2" s="164" t="s">
        <v>93</v>
      </c>
      <c r="B2" s="164"/>
      <c r="C2" s="164"/>
      <c r="D2" s="164"/>
      <c r="E2" s="164"/>
      <c r="F2" s="164"/>
      <c r="G2" s="164"/>
      <c r="H2" s="37"/>
      <c r="I2" s="37"/>
      <c r="J2" s="37"/>
      <c r="K2" s="37"/>
      <c r="L2" s="37"/>
      <c r="M2" s="37"/>
      <c r="N2" s="37"/>
      <c r="O2" s="37"/>
      <c r="P2" s="35"/>
    </row>
    <row r="3" spans="1:22" ht="15.75" x14ac:dyDescent="0.25">
      <c r="D3" s="38"/>
      <c r="E3" s="38"/>
      <c r="F3" s="39"/>
      <c r="H3" s="40"/>
      <c r="I3" s="40"/>
      <c r="J3" s="40"/>
      <c r="K3" s="40"/>
      <c r="L3" s="40"/>
      <c r="M3" s="40"/>
      <c r="N3" s="40"/>
      <c r="O3" s="40"/>
      <c r="P3" s="41"/>
    </row>
    <row r="4" spans="1:22" ht="15.75" x14ac:dyDescent="0.25">
      <c r="A4" s="42"/>
      <c r="B4" s="42"/>
      <c r="C4" s="42"/>
      <c r="D4" s="38"/>
      <c r="E4" s="38"/>
      <c r="F4" s="39"/>
      <c r="H4" s="40"/>
      <c r="I4" s="40"/>
      <c r="J4" s="40"/>
      <c r="K4" s="40"/>
      <c r="L4" s="40"/>
      <c r="M4" s="40"/>
      <c r="N4" s="40"/>
      <c r="O4" s="40"/>
      <c r="P4" s="41"/>
    </row>
    <row r="5" spans="1:22" ht="15" x14ac:dyDescent="0.2">
      <c r="B5" s="39"/>
      <c r="C5" s="161"/>
      <c r="D5" s="161"/>
      <c r="E5" s="161"/>
      <c r="F5" s="165" t="s">
        <v>91</v>
      </c>
      <c r="G5" s="165"/>
      <c r="H5" s="40"/>
      <c r="I5" s="40"/>
      <c r="J5" s="40"/>
      <c r="K5" s="40"/>
      <c r="L5" s="40"/>
      <c r="M5" s="40"/>
      <c r="N5" s="40"/>
      <c r="O5" s="40"/>
      <c r="P5" s="41"/>
    </row>
    <row r="6" spans="1:22" ht="15.75" x14ac:dyDescent="0.25">
      <c r="A6" s="43" t="s">
        <v>5</v>
      </c>
      <c r="B6" s="39"/>
      <c r="C6" s="44">
        <v>2024</v>
      </c>
      <c r="D6" s="44">
        <v>2024</v>
      </c>
      <c r="E6" s="44">
        <v>2024</v>
      </c>
      <c r="F6" s="44">
        <v>2021</v>
      </c>
      <c r="G6" s="44">
        <v>2021</v>
      </c>
      <c r="H6" s="162" t="s">
        <v>96</v>
      </c>
      <c r="I6" s="101"/>
      <c r="J6" s="101"/>
      <c r="K6" s="101"/>
      <c r="L6" s="107"/>
      <c r="M6" s="101"/>
      <c r="N6" s="107"/>
      <c r="O6" s="107"/>
      <c r="P6" s="41"/>
    </row>
    <row r="7" spans="1:22" ht="15.75" x14ac:dyDescent="0.25">
      <c r="A7" s="43" t="s">
        <v>6</v>
      </c>
      <c r="B7" s="39"/>
      <c r="C7" s="45" t="s">
        <v>2</v>
      </c>
      <c r="D7" s="46" t="s">
        <v>3</v>
      </c>
      <c r="E7" s="46" t="s">
        <v>8</v>
      </c>
      <c r="F7" s="46" t="s">
        <v>8</v>
      </c>
      <c r="G7" s="46" t="s">
        <v>8</v>
      </c>
      <c r="H7" s="162"/>
      <c r="I7" s="101"/>
      <c r="J7" s="101"/>
      <c r="K7" s="101"/>
      <c r="L7" s="107"/>
      <c r="M7" s="101"/>
      <c r="N7" s="107"/>
      <c r="O7" s="107"/>
      <c r="P7" s="41"/>
    </row>
    <row r="8" spans="1:22" ht="18.75" customHeight="1" x14ac:dyDescent="0.25">
      <c r="A8" s="43" t="s">
        <v>7</v>
      </c>
      <c r="B8" s="39"/>
      <c r="C8" s="45" t="s">
        <v>1</v>
      </c>
      <c r="D8" s="46" t="s">
        <v>4</v>
      </c>
      <c r="E8" s="46" t="s">
        <v>4</v>
      </c>
      <c r="F8" s="46" t="s">
        <v>4</v>
      </c>
      <c r="G8" s="46" t="s">
        <v>4</v>
      </c>
      <c r="H8" s="162"/>
      <c r="I8" s="101" t="s">
        <v>106</v>
      </c>
      <c r="J8" s="101" t="s">
        <v>106</v>
      </c>
      <c r="K8" s="101" t="s">
        <v>105</v>
      </c>
      <c r="L8" s="107"/>
      <c r="M8" s="101" t="s">
        <v>105</v>
      </c>
      <c r="N8" s="107"/>
      <c r="O8" s="107"/>
      <c r="P8" s="41"/>
    </row>
    <row r="9" spans="1:22" ht="15.75" x14ac:dyDescent="0.25">
      <c r="B9" s="39"/>
      <c r="C9" s="45"/>
      <c r="D9" s="46"/>
      <c r="E9" s="47"/>
      <c r="F9" s="48">
        <v>50</v>
      </c>
      <c r="G9" s="48">
        <v>100</v>
      </c>
      <c r="H9" s="40"/>
      <c r="I9" s="40" t="s">
        <v>103</v>
      </c>
      <c r="J9" s="40" t="s">
        <v>104</v>
      </c>
      <c r="K9" s="40" t="s">
        <v>103</v>
      </c>
      <c r="L9" s="40"/>
      <c r="M9" s="40" t="s">
        <v>104</v>
      </c>
      <c r="N9" s="40"/>
      <c r="O9" s="40"/>
      <c r="P9" s="41"/>
    </row>
    <row r="10" spans="1:22" ht="15.75" x14ac:dyDescent="0.25">
      <c r="A10" s="49" t="s">
        <v>28</v>
      </c>
      <c r="B10" s="50"/>
      <c r="C10" s="51"/>
      <c r="D10" s="38"/>
      <c r="E10" s="38"/>
      <c r="F10" s="39"/>
      <c r="H10" s="40"/>
      <c r="I10" s="40"/>
      <c r="J10" s="40"/>
      <c r="K10" s="40"/>
      <c r="L10" s="40"/>
      <c r="M10" s="40"/>
      <c r="N10" s="40"/>
      <c r="O10" s="40"/>
      <c r="P10" s="41"/>
      <c r="Q10" s="68" t="s">
        <v>66</v>
      </c>
      <c r="R10" s="68" t="s">
        <v>70</v>
      </c>
      <c r="T10" s="68" t="s">
        <v>66</v>
      </c>
      <c r="U10" s="68" t="s">
        <v>70</v>
      </c>
    </row>
    <row r="11" spans="1:22" x14ac:dyDescent="0.2">
      <c r="A11" s="172" t="s">
        <v>76</v>
      </c>
      <c r="B11" s="173"/>
      <c r="C11" s="174">
        <f>+R11+R14</f>
        <v>1925.9021000000002</v>
      </c>
      <c r="D11" s="175">
        <f t="shared" ref="D11:D16" si="0">+C11-E11</f>
        <v>1351.7698000000003</v>
      </c>
      <c r="E11" s="175">
        <f>+I11+K11</f>
        <v>574.13229999999999</v>
      </c>
      <c r="F11" s="174">
        <f>+E11+50</f>
        <v>624.13229999999999</v>
      </c>
      <c r="G11" s="174">
        <f>+E11+100</f>
        <v>674.13229999999999</v>
      </c>
      <c r="H11" s="176">
        <f>(D11-S11)*0.867</f>
        <v>998.06421660000035</v>
      </c>
      <c r="I11" s="176">
        <f>+Q11</f>
        <v>0</v>
      </c>
      <c r="J11" s="176">
        <f>+S11</f>
        <v>200.6</v>
      </c>
      <c r="K11" s="176">
        <f>+Q14</f>
        <v>574.13229999999999</v>
      </c>
      <c r="L11" s="176">
        <f>K11*12</f>
        <v>6889.5875999999998</v>
      </c>
      <c r="M11" s="176">
        <f>+S14</f>
        <v>1151.1698000000004</v>
      </c>
      <c r="N11" s="176">
        <f>+M11*12</f>
        <v>13814.037600000003</v>
      </c>
      <c r="O11" s="176">
        <f>+L11+N11</f>
        <v>20703.625200000002</v>
      </c>
      <c r="P11" s="73" t="s">
        <v>63</v>
      </c>
      <c r="Q11" s="71">
        <v>0</v>
      </c>
      <c r="R11" s="71">
        <f>+'MAPD PPO'!B12</f>
        <v>200.6</v>
      </c>
      <c r="S11" s="71">
        <f t="shared" ref="S11:S16" si="1">+R11-Q11</f>
        <v>200.6</v>
      </c>
      <c r="T11" s="36">
        <f t="shared" ref="T11:V16" si="2">+Q11*12</f>
        <v>0</v>
      </c>
      <c r="U11" s="36">
        <f t="shared" si="2"/>
        <v>2407.1999999999998</v>
      </c>
      <c r="V11" s="36">
        <f t="shared" si="2"/>
        <v>2407.1999999999998</v>
      </c>
    </row>
    <row r="12" spans="1:22" x14ac:dyDescent="0.2">
      <c r="A12" s="58" t="s">
        <v>77</v>
      </c>
      <c r="B12" s="82"/>
      <c r="C12" s="83">
        <f>+R12+R13</f>
        <v>1503.6974</v>
      </c>
      <c r="D12" s="84">
        <f t="shared" si="0"/>
        <v>1363.6174000000001</v>
      </c>
      <c r="E12" s="84">
        <f t="shared" ref="E12:E16" si="3">+I12+K12</f>
        <v>140.08000000000001</v>
      </c>
      <c r="F12" s="83">
        <f>E12+50</f>
        <v>190.08</v>
      </c>
      <c r="G12" s="83">
        <f>E12+100</f>
        <v>240.08</v>
      </c>
      <c r="H12" s="83">
        <f>+(D12-S12)*0.867</f>
        <v>1129.7854458000002</v>
      </c>
      <c r="I12" s="83">
        <f>+Q12</f>
        <v>140.08000000000001</v>
      </c>
      <c r="J12" s="83">
        <f>+S12</f>
        <v>60.519999999999982</v>
      </c>
      <c r="K12" s="83">
        <f>+Q13</f>
        <v>0</v>
      </c>
      <c r="L12" s="227">
        <f t="shared" ref="L12:L16" si="4">K12*12</f>
        <v>0</v>
      </c>
      <c r="M12" s="83">
        <f>+S13</f>
        <v>1303.0974000000001</v>
      </c>
      <c r="N12" s="227">
        <f t="shared" ref="N12:N16" si="5">+M12*12</f>
        <v>15637.168800000001</v>
      </c>
      <c r="O12" s="227">
        <f t="shared" ref="O12:O16" si="6">+L12+N12</f>
        <v>15637.168800000001</v>
      </c>
      <c r="P12" s="73" t="s">
        <v>65</v>
      </c>
      <c r="Q12" s="71">
        <f>'MAPD PPO'!D13</f>
        <v>140.08000000000001</v>
      </c>
      <c r="R12" s="71">
        <f>+'MAPD PPO'!B12</f>
        <v>200.6</v>
      </c>
      <c r="S12" s="71">
        <f t="shared" si="1"/>
        <v>60.519999999999982</v>
      </c>
      <c r="T12" s="36">
        <f t="shared" si="2"/>
        <v>1680.96</v>
      </c>
      <c r="U12" s="36">
        <f t="shared" si="2"/>
        <v>2407.1999999999998</v>
      </c>
      <c r="V12" s="36">
        <f t="shared" si="2"/>
        <v>726.23999999999978</v>
      </c>
    </row>
    <row r="13" spans="1:22" x14ac:dyDescent="0.2">
      <c r="A13" s="182" t="s">
        <v>78</v>
      </c>
      <c r="B13" s="183"/>
      <c r="C13" s="184">
        <f>+R11+R15</f>
        <v>1120.7626999999998</v>
      </c>
      <c r="D13" s="185">
        <f t="shared" si="0"/>
        <v>814.55399999999975</v>
      </c>
      <c r="E13" s="185">
        <f t="shared" si="3"/>
        <v>306.20870000000002</v>
      </c>
      <c r="F13" s="184">
        <f>+E13+50</f>
        <v>356.20870000000002</v>
      </c>
      <c r="G13" s="184">
        <f>+E13+100</f>
        <v>406.20870000000002</v>
      </c>
      <c r="H13" s="184">
        <f>+(D13-S11)*0.867</f>
        <v>532.2981179999997</v>
      </c>
      <c r="I13" s="184">
        <f>+Q11</f>
        <v>0</v>
      </c>
      <c r="J13" s="184">
        <f>+S11</f>
        <v>200.6</v>
      </c>
      <c r="K13" s="184">
        <f>+Q15</f>
        <v>306.20870000000002</v>
      </c>
      <c r="L13" s="186">
        <f t="shared" si="4"/>
        <v>3674.5044000000003</v>
      </c>
      <c r="M13" s="184">
        <f>+S15</f>
        <v>613.95399999999984</v>
      </c>
      <c r="N13" s="186">
        <f t="shared" si="5"/>
        <v>7367.4479999999985</v>
      </c>
      <c r="O13" s="186">
        <f t="shared" si="6"/>
        <v>11041.952399999998</v>
      </c>
      <c r="P13" s="73" t="s">
        <v>71</v>
      </c>
      <c r="Q13" s="71">
        <v>0</v>
      </c>
      <c r="R13" s="71">
        <f>'NonMC ConsumerChoice'!B13</f>
        <v>1303.0974000000001</v>
      </c>
      <c r="S13" s="71">
        <f t="shared" si="1"/>
        <v>1303.0974000000001</v>
      </c>
      <c r="T13" s="36">
        <f t="shared" si="2"/>
        <v>0</v>
      </c>
      <c r="U13" s="36">
        <f t="shared" si="2"/>
        <v>15637.168800000001</v>
      </c>
      <c r="V13" s="36">
        <f t="shared" si="2"/>
        <v>15637.168800000001</v>
      </c>
    </row>
    <row r="14" spans="1:22" x14ac:dyDescent="0.2">
      <c r="A14" s="206" t="s">
        <v>79</v>
      </c>
      <c r="B14" s="194"/>
      <c r="C14" s="195">
        <f>+R11+R16</f>
        <v>2788.5358999999994</v>
      </c>
      <c r="D14" s="196">
        <f t="shared" si="0"/>
        <v>1927.3425999999995</v>
      </c>
      <c r="E14" s="196">
        <f t="shared" si="3"/>
        <v>861.19330000000002</v>
      </c>
      <c r="F14" s="195">
        <f>+E14+50</f>
        <v>911.19330000000002</v>
      </c>
      <c r="G14" s="195">
        <f>+E14+100</f>
        <v>961.19330000000002</v>
      </c>
      <c r="H14" s="195">
        <f>+(D14-S11)*0.867</f>
        <v>1497.0858341999997</v>
      </c>
      <c r="I14" s="195">
        <f>+Q11</f>
        <v>0</v>
      </c>
      <c r="J14" s="195">
        <f>+S11</f>
        <v>200.6</v>
      </c>
      <c r="K14" s="195">
        <f>+Q16</f>
        <v>861.19330000000002</v>
      </c>
      <c r="L14" s="197">
        <f t="shared" si="4"/>
        <v>10334.319600000001</v>
      </c>
      <c r="M14" s="195">
        <f>+S16</f>
        <v>1726.7425999999996</v>
      </c>
      <c r="N14" s="197">
        <f t="shared" si="5"/>
        <v>20720.911199999995</v>
      </c>
      <c r="O14" s="197">
        <f t="shared" si="6"/>
        <v>31055.230799999998</v>
      </c>
      <c r="P14" s="73" t="s">
        <v>67</v>
      </c>
      <c r="Q14" s="71">
        <f>'NonMC ConsumerChoice'!D14</f>
        <v>574.13229999999999</v>
      </c>
      <c r="R14" s="71">
        <f>+'NonMC ConsumerChoice'!B14-'NonMC ConsumerChoice'!B13</f>
        <v>1725.3021000000003</v>
      </c>
      <c r="S14" s="71">
        <f t="shared" si="1"/>
        <v>1151.1698000000004</v>
      </c>
      <c r="T14" s="36">
        <f t="shared" si="2"/>
        <v>6889.5875999999998</v>
      </c>
      <c r="U14" s="36">
        <f t="shared" si="2"/>
        <v>20703.625200000002</v>
      </c>
      <c r="V14" s="36">
        <f t="shared" si="2"/>
        <v>13814.037600000003</v>
      </c>
    </row>
    <row r="15" spans="1:22" x14ac:dyDescent="0.2">
      <c r="A15" s="58" t="s">
        <v>80</v>
      </c>
      <c r="B15" s="82"/>
      <c r="C15" s="83">
        <f>+R11+R13+R15</f>
        <v>2423.8600999999999</v>
      </c>
      <c r="D15" s="84">
        <f t="shared" si="0"/>
        <v>1977.5713999999998</v>
      </c>
      <c r="E15" s="84">
        <f t="shared" si="3"/>
        <v>446.28870000000006</v>
      </c>
      <c r="F15" s="83">
        <f>E15+50</f>
        <v>496.28870000000006</v>
      </c>
      <c r="G15" s="83">
        <f>E15+100</f>
        <v>546.28870000000006</v>
      </c>
      <c r="H15" s="83">
        <f>+(D15-S12)*0.867</f>
        <v>1662.0835637999999</v>
      </c>
      <c r="I15" s="83">
        <f>+Q12</f>
        <v>140.08000000000001</v>
      </c>
      <c r="J15" s="83">
        <f>+S12</f>
        <v>60.519999999999982</v>
      </c>
      <c r="K15" s="83">
        <f>+Q13+Q15</f>
        <v>306.20870000000002</v>
      </c>
      <c r="L15" s="227">
        <f t="shared" si="4"/>
        <v>3674.5044000000003</v>
      </c>
      <c r="M15" s="83">
        <f>+S13+S15</f>
        <v>1917.0513999999998</v>
      </c>
      <c r="N15" s="227">
        <f t="shared" si="5"/>
        <v>23004.616799999996</v>
      </c>
      <c r="O15" s="227">
        <f t="shared" si="6"/>
        <v>26679.121199999998</v>
      </c>
      <c r="P15" s="73" t="s">
        <v>68</v>
      </c>
      <c r="Q15" s="80">
        <f>'NonMC ConsumerChoice'!D15</f>
        <v>306.20870000000002</v>
      </c>
      <c r="R15" s="71">
        <f>+'NonMC ConsumerChoice'!B15-'NonMC ConsumerChoice'!B13</f>
        <v>920.16269999999986</v>
      </c>
      <c r="S15" s="71">
        <f t="shared" si="1"/>
        <v>613.95399999999984</v>
      </c>
      <c r="T15" s="36">
        <f t="shared" si="2"/>
        <v>3674.5044000000003</v>
      </c>
      <c r="U15" s="36">
        <f t="shared" si="2"/>
        <v>11041.952399999998</v>
      </c>
      <c r="V15" s="36">
        <f t="shared" si="2"/>
        <v>7367.4479999999985</v>
      </c>
    </row>
    <row r="16" spans="1:22" x14ac:dyDescent="0.2">
      <c r="A16" s="177" t="s">
        <v>81</v>
      </c>
      <c r="B16" s="178"/>
      <c r="C16" s="179">
        <f>+R11+R12+R15</f>
        <v>1321.3626999999999</v>
      </c>
      <c r="D16" s="180">
        <f t="shared" si="0"/>
        <v>875.07399999999984</v>
      </c>
      <c r="E16" s="180">
        <f t="shared" si="3"/>
        <v>446.28870000000006</v>
      </c>
      <c r="F16" s="179">
        <f>+E16+50</f>
        <v>496.28870000000006</v>
      </c>
      <c r="G16" s="179">
        <f>+E16+100</f>
        <v>546.28870000000006</v>
      </c>
      <c r="H16" s="179">
        <f>+(D16-S11)*0.867</f>
        <v>584.76895799999988</v>
      </c>
      <c r="I16" s="179">
        <f>+Q11+Q12</f>
        <v>140.08000000000001</v>
      </c>
      <c r="J16" s="179">
        <f>+S11+S12</f>
        <v>261.12</v>
      </c>
      <c r="K16" s="179">
        <f>+Q15</f>
        <v>306.20870000000002</v>
      </c>
      <c r="L16" s="181">
        <f t="shared" si="4"/>
        <v>3674.5044000000003</v>
      </c>
      <c r="M16" s="179">
        <f>+S15</f>
        <v>613.95399999999984</v>
      </c>
      <c r="N16" s="181">
        <f t="shared" si="5"/>
        <v>7367.4479999999985</v>
      </c>
      <c r="O16" s="181">
        <f t="shared" si="6"/>
        <v>11041.952399999998</v>
      </c>
      <c r="P16" s="74" t="s">
        <v>69</v>
      </c>
      <c r="Q16" s="80">
        <f>'NonMC ConsumerChoice'!D16</f>
        <v>861.19330000000002</v>
      </c>
      <c r="R16" s="71">
        <f>'NonMC ConsumerChoice'!B16-'NonMC ConsumerChoice'!B13</f>
        <v>2587.9358999999995</v>
      </c>
      <c r="S16" s="71">
        <f t="shared" si="1"/>
        <v>1726.7425999999996</v>
      </c>
      <c r="T16" s="36">
        <f t="shared" si="2"/>
        <v>10334.319600000001</v>
      </c>
      <c r="U16" s="36">
        <f t="shared" si="2"/>
        <v>31055.230799999994</v>
      </c>
      <c r="V16" s="36">
        <f t="shared" si="2"/>
        <v>20720.911199999995</v>
      </c>
    </row>
    <row r="17" spans="1:22" x14ac:dyDescent="0.2">
      <c r="A17" s="61" t="s">
        <v>94</v>
      </c>
      <c r="B17" s="43"/>
      <c r="C17" s="53">
        <f>+R13+R12+R11</f>
        <v>1704.2973999999999</v>
      </c>
      <c r="D17" s="53">
        <f>+S13+S12+S12</f>
        <v>1424.1374000000001</v>
      </c>
      <c r="E17" s="53">
        <f>+Q12+Q12</f>
        <v>280.16000000000003</v>
      </c>
    </row>
    <row r="18" spans="1:22" x14ac:dyDescent="0.2">
      <c r="A18" s="61"/>
      <c r="C18" s="53"/>
      <c r="D18" s="54"/>
      <c r="E18" s="54"/>
      <c r="F18" s="59"/>
      <c r="Q18" s="71">
        <f>+Q15+Q12</f>
        <v>446.28870000000006</v>
      </c>
      <c r="S18" s="71">
        <f>+S15+S12</f>
        <v>674.47399999999982</v>
      </c>
    </row>
    <row r="19" spans="1:22" x14ac:dyDescent="0.2">
      <c r="A19" s="43" t="s">
        <v>6</v>
      </c>
      <c r="B19" s="43"/>
      <c r="C19" s="53"/>
      <c r="D19" s="62"/>
      <c r="E19" s="62"/>
      <c r="F19" s="43"/>
    </row>
    <row r="20" spans="1:22" x14ac:dyDescent="0.2">
      <c r="A20" s="43" t="s">
        <v>9</v>
      </c>
      <c r="B20" s="50"/>
      <c r="C20" s="50"/>
      <c r="D20" s="63"/>
      <c r="E20" s="63"/>
      <c r="F20" s="50"/>
    </row>
    <row r="21" spans="1:22" x14ac:dyDescent="0.2">
      <c r="A21" s="43"/>
      <c r="D21" s="63"/>
      <c r="E21" s="63"/>
      <c r="H21" s="55"/>
      <c r="I21" s="55"/>
      <c r="J21" s="55"/>
      <c r="K21" s="55"/>
      <c r="L21" s="55"/>
      <c r="M21" s="55"/>
      <c r="N21" s="55"/>
      <c r="O21" s="55"/>
      <c r="P21" s="64"/>
    </row>
    <row r="22" spans="1:22" x14ac:dyDescent="0.2">
      <c r="A22" s="49" t="s">
        <v>28</v>
      </c>
      <c r="D22" s="63"/>
      <c r="E22" s="63"/>
      <c r="H22" s="55"/>
      <c r="I22" s="55"/>
      <c r="J22" s="55"/>
      <c r="K22" s="55"/>
      <c r="L22" s="55"/>
      <c r="M22" s="55"/>
      <c r="N22" s="55"/>
      <c r="O22" s="55"/>
      <c r="T22" s="68" t="s">
        <v>66</v>
      </c>
      <c r="U22" s="68" t="s">
        <v>70</v>
      </c>
    </row>
    <row r="23" spans="1:22" x14ac:dyDescent="0.2">
      <c r="A23" s="172" t="s">
        <v>82</v>
      </c>
      <c r="B23" s="173"/>
      <c r="C23" s="174">
        <f>+R23+R26</f>
        <v>1925.9021000000002</v>
      </c>
      <c r="D23" s="175">
        <f t="shared" ref="D23:D28" si="7">+C23-E23</f>
        <v>1414.0521000000003</v>
      </c>
      <c r="E23" s="175">
        <v>511.85</v>
      </c>
      <c r="F23" s="174">
        <f>+E23+50</f>
        <v>561.85</v>
      </c>
      <c r="G23" s="174">
        <f>+E23+100</f>
        <v>611.85</v>
      </c>
      <c r="H23" s="176">
        <f>(D23-S23)*0.867</f>
        <v>1107.7417107000001</v>
      </c>
      <c r="I23" s="176">
        <f>+Q23</f>
        <v>64.22</v>
      </c>
      <c r="J23" s="176">
        <f>+S23</f>
        <v>136.38</v>
      </c>
      <c r="K23" s="176">
        <f>+E23-I23</f>
        <v>447.63</v>
      </c>
      <c r="L23" s="176">
        <f t="shared" ref="L23:L28" si="8">K23*12</f>
        <v>5371.5599999999995</v>
      </c>
      <c r="M23" s="176">
        <f>+D23-J23</f>
        <v>1277.6721000000002</v>
      </c>
      <c r="N23" s="176">
        <f>+M23*12</f>
        <v>15332.065200000003</v>
      </c>
      <c r="O23" s="176">
        <f>+L23+N23</f>
        <v>20703.625200000002</v>
      </c>
      <c r="P23" s="73" t="s">
        <v>63</v>
      </c>
      <c r="Q23" s="71">
        <f>'MAPD PPO'!D23</f>
        <v>64.22</v>
      </c>
      <c r="R23" s="71">
        <f>+'MAPD PPO'!B12</f>
        <v>200.6</v>
      </c>
      <c r="S23" s="71">
        <f t="shared" ref="S23:S28" si="9">+R23-Q23</f>
        <v>136.38</v>
      </c>
      <c r="T23" s="36">
        <f t="shared" ref="T23:V28" si="10">+Q23*12</f>
        <v>770.64</v>
      </c>
      <c r="U23" s="36">
        <f t="shared" si="10"/>
        <v>2407.1999999999998</v>
      </c>
      <c r="V23" s="36">
        <f t="shared" si="10"/>
        <v>1636.56</v>
      </c>
    </row>
    <row r="24" spans="1:22" x14ac:dyDescent="0.2">
      <c r="A24" s="58" t="s">
        <v>83</v>
      </c>
      <c r="B24" s="82"/>
      <c r="C24" s="83">
        <f>+R24+R25</f>
        <v>1503.6974</v>
      </c>
      <c r="D24" s="84">
        <f t="shared" si="7"/>
        <v>1056.8974000000001</v>
      </c>
      <c r="E24" s="84">
        <v>446.8</v>
      </c>
      <c r="F24" s="84">
        <f>E24+50</f>
        <v>496.8</v>
      </c>
      <c r="G24" s="83">
        <f>E24+100</f>
        <v>546.79999999999995</v>
      </c>
      <c r="H24" s="83">
        <f>+(D24-S24)*0.867</f>
        <v>843.94421580000005</v>
      </c>
      <c r="I24" s="83">
        <f>+Q24</f>
        <v>117.11000000000001</v>
      </c>
      <c r="J24" s="83">
        <f>+S24</f>
        <v>83.489999999999981</v>
      </c>
      <c r="K24" s="227">
        <f t="shared" ref="K24:K28" si="11">+E24-I24</f>
        <v>329.69</v>
      </c>
      <c r="L24" s="227">
        <f t="shared" si="8"/>
        <v>3956.2799999999997</v>
      </c>
      <c r="M24" s="227">
        <f t="shared" ref="M24:M28" si="12">+D24-J24</f>
        <v>973.40740000000005</v>
      </c>
      <c r="N24" s="227">
        <f t="shared" ref="N24:N28" si="13">+M24*12</f>
        <v>11680.888800000001</v>
      </c>
      <c r="O24" s="227">
        <f t="shared" ref="O24:O28" si="14">+L24+N24</f>
        <v>15637.168799999999</v>
      </c>
      <c r="P24" s="73" t="s">
        <v>64</v>
      </c>
      <c r="Q24" s="71">
        <f>'MAPD PPO'!D24-'MAPD PPO'!D23</f>
        <v>117.11000000000001</v>
      </c>
      <c r="R24" s="71">
        <f>+'MAPD PPO'!B12</f>
        <v>200.6</v>
      </c>
      <c r="S24" s="71">
        <f t="shared" si="9"/>
        <v>83.489999999999981</v>
      </c>
      <c r="T24" s="36">
        <f t="shared" si="10"/>
        <v>1405.3200000000002</v>
      </c>
      <c r="U24" s="36">
        <f t="shared" si="10"/>
        <v>2407.1999999999998</v>
      </c>
      <c r="V24" s="36">
        <f t="shared" si="10"/>
        <v>1001.8799999999998</v>
      </c>
    </row>
    <row r="25" spans="1:22" x14ac:dyDescent="0.2">
      <c r="A25" s="178" t="s">
        <v>78</v>
      </c>
      <c r="B25" s="178"/>
      <c r="C25" s="179">
        <f>+R23+R27</f>
        <v>1278.7225999999996</v>
      </c>
      <c r="D25" s="180">
        <f t="shared" si="7"/>
        <v>869.00259999999957</v>
      </c>
      <c r="E25" s="180">
        <v>409.72</v>
      </c>
      <c r="F25" s="179">
        <f>+E25+50</f>
        <v>459.72</v>
      </c>
      <c r="G25" s="179">
        <f>+E25+100</f>
        <v>509.72</v>
      </c>
      <c r="H25" s="179">
        <f>+(D25-S23)*0.867</f>
        <v>635.18379419999962</v>
      </c>
      <c r="I25" s="179">
        <f>+Q23</f>
        <v>64.22</v>
      </c>
      <c r="J25" s="179">
        <f>+S23</f>
        <v>136.38</v>
      </c>
      <c r="K25" s="181">
        <f t="shared" si="11"/>
        <v>345.5</v>
      </c>
      <c r="L25" s="181">
        <f t="shared" si="8"/>
        <v>4146</v>
      </c>
      <c r="M25" s="181">
        <f t="shared" si="12"/>
        <v>732.62259999999958</v>
      </c>
      <c r="N25" s="181">
        <f t="shared" si="13"/>
        <v>8791.4711999999945</v>
      </c>
      <c r="O25" s="181">
        <f t="shared" si="14"/>
        <v>12937.471199999994</v>
      </c>
      <c r="P25" s="73" t="s">
        <v>71</v>
      </c>
      <c r="Q25" s="71">
        <f>'NonMC ConsumerChoice'!D23</f>
        <v>316.57256000000001</v>
      </c>
      <c r="R25" s="71">
        <f>'NonMC ConsumerChoice'!B23</f>
        <v>1303.0974000000001</v>
      </c>
      <c r="S25" s="71">
        <f t="shared" si="9"/>
        <v>986.52484000000004</v>
      </c>
      <c r="T25" s="36">
        <f t="shared" si="10"/>
        <v>3798.8707199999999</v>
      </c>
      <c r="U25" s="36">
        <f t="shared" si="10"/>
        <v>15637.168800000001</v>
      </c>
      <c r="V25" s="36">
        <f t="shared" si="10"/>
        <v>11838.29808</v>
      </c>
    </row>
    <row r="26" spans="1:22" x14ac:dyDescent="0.2">
      <c r="A26" s="167" t="s">
        <v>84</v>
      </c>
      <c r="B26" s="168"/>
      <c r="C26" s="169">
        <f>+R23+R28</f>
        <v>2788.5358999999994</v>
      </c>
      <c r="D26" s="170">
        <f t="shared" si="7"/>
        <v>1991.7858999999994</v>
      </c>
      <c r="E26" s="170">
        <v>796.75</v>
      </c>
      <c r="F26" s="169">
        <f>+E26+50</f>
        <v>846.75</v>
      </c>
      <c r="G26" s="169">
        <f>+E26+100</f>
        <v>896.75</v>
      </c>
      <c r="H26" s="169">
        <f>+(D26-S23)*0.867</f>
        <v>1608.6369152999994</v>
      </c>
      <c r="I26" s="169">
        <f>+Q23</f>
        <v>64.22</v>
      </c>
      <c r="J26" s="169">
        <f>+S23</f>
        <v>136.38</v>
      </c>
      <c r="K26" s="171">
        <f t="shared" si="11"/>
        <v>732.53</v>
      </c>
      <c r="L26" s="171">
        <f t="shared" si="8"/>
        <v>8790.36</v>
      </c>
      <c r="M26" s="171">
        <f t="shared" si="12"/>
        <v>1855.4058999999993</v>
      </c>
      <c r="N26" s="171">
        <f t="shared" si="13"/>
        <v>22264.87079999999</v>
      </c>
      <c r="O26" s="171">
        <f t="shared" si="14"/>
        <v>31055.23079999999</v>
      </c>
      <c r="P26" s="73" t="s">
        <v>67</v>
      </c>
      <c r="Q26" s="71">
        <f>'NonMC ConsumerChoice'!D24-'NonMC ConsumerChoice'!D23</f>
        <v>450.94615400000004</v>
      </c>
      <c r="R26" s="71">
        <f>'NonMC ConsumerChoice'!B24-'NonMC ConsumerChoice'!B23</f>
        <v>1725.3021000000003</v>
      </c>
      <c r="S26" s="71">
        <f t="shared" si="9"/>
        <v>1274.3559460000004</v>
      </c>
      <c r="T26" s="36">
        <f t="shared" si="10"/>
        <v>5411.3538480000007</v>
      </c>
      <c r="U26" s="36">
        <f t="shared" si="10"/>
        <v>20703.625200000002</v>
      </c>
      <c r="V26" s="36">
        <f t="shared" si="10"/>
        <v>15292.271352000003</v>
      </c>
    </row>
    <row r="27" spans="1:22" x14ac:dyDescent="0.2">
      <c r="A27" s="58" t="s">
        <v>85</v>
      </c>
      <c r="B27" s="82"/>
      <c r="C27" s="83">
        <f>+R23+R25+R27</f>
        <v>2581.8199999999997</v>
      </c>
      <c r="D27" s="84">
        <f t="shared" si="7"/>
        <v>1802.0399999999997</v>
      </c>
      <c r="E27" s="84">
        <v>779.78</v>
      </c>
      <c r="F27" s="84">
        <f>E27+50</f>
        <v>829.78</v>
      </c>
      <c r="G27" s="83">
        <f>E27+100</f>
        <v>879.78</v>
      </c>
      <c r="H27" s="83">
        <f>+(D27-S24)*0.867</f>
        <v>1489.9828499999996</v>
      </c>
      <c r="I27" s="83">
        <f>+Q24</f>
        <v>117.11000000000001</v>
      </c>
      <c r="J27" s="83">
        <f>+S24</f>
        <v>83.489999999999981</v>
      </c>
      <c r="K27" s="227">
        <f t="shared" si="11"/>
        <v>662.67</v>
      </c>
      <c r="L27" s="227">
        <f t="shared" si="8"/>
        <v>7952.0399999999991</v>
      </c>
      <c r="M27" s="227">
        <f t="shared" si="12"/>
        <v>1718.5499999999997</v>
      </c>
      <c r="N27" s="227">
        <f t="shared" si="13"/>
        <v>20622.599999999999</v>
      </c>
      <c r="O27" s="227">
        <f t="shared" si="14"/>
        <v>28574.639999999999</v>
      </c>
      <c r="P27" s="73" t="s">
        <v>68</v>
      </c>
      <c r="Q27" s="71">
        <f>'NonMC ConsumerChoice'!D25-'NonMC ConsumerChoice'!D23</f>
        <v>342.64948199999998</v>
      </c>
      <c r="R27" s="71">
        <f>'NonMC ConsumerChoice'!B25-'NonMC ConsumerChoice'!B23</f>
        <v>1078.1225999999997</v>
      </c>
      <c r="S27" s="71">
        <f t="shared" si="9"/>
        <v>735.47311799999966</v>
      </c>
      <c r="T27" s="36">
        <f t="shared" si="10"/>
        <v>4111.7937839999995</v>
      </c>
      <c r="U27" s="36">
        <f t="shared" si="10"/>
        <v>12937.471199999996</v>
      </c>
      <c r="V27" s="36">
        <f t="shared" si="10"/>
        <v>8825.677415999995</v>
      </c>
    </row>
    <row r="28" spans="1:22" x14ac:dyDescent="0.2">
      <c r="A28" s="182" t="s">
        <v>86</v>
      </c>
      <c r="B28" s="183"/>
      <c r="C28" s="184">
        <f>+R23+R24+R27</f>
        <v>1479.3225999999997</v>
      </c>
      <c r="D28" s="185">
        <f t="shared" si="7"/>
        <v>921.15259999999978</v>
      </c>
      <c r="E28" s="185">
        <v>558.16999999999996</v>
      </c>
      <c r="F28" s="184">
        <f>+E28+50</f>
        <v>608.16999999999996</v>
      </c>
      <c r="G28" s="184">
        <f>+E28+100</f>
        <v>658.17</v>
      </c>
      <c r="H28" s="184">
        <f>+(D28-S23)*0.867</f>
        <v>680.39784419999978</v>
      </c>
      <c r="I28" s="184">
        <f>+Q23+Q24</f>
        <v>181.33</v>
      </c>
      <c r="J28" s="184">
        <f>+S23+S24</f>
        <v>219.86999999999998</v>
      </c>
      <c r="K28" s="186">
        <f t="shared" si="11"/>
        <v>376.83999999999992</v>
      </c>
      <c r="L28" s="186">
        <f t="shared" si="8"/>
        <v>4522.079999999999</v>
      </c>
      <c r="M28" s="186">
        <f t="shared" si="12"/>
        <v>701.28259999999977</v>
      </c>
      <c r="N28" s="186">
        <f t="shared" si="13"/>
        <v>8415.3911999999982</v>
      </c>
      <c r="O28" s="186">
        <f t="shared" si="14"/>
        <v>12937.471199999996</v>
      </c>
      <c r="P28" s="74" t="s">
        <v>69</v>
      </c>
      <c r="Q28" s="71">
        <f>'NonMC ConsumerChoice'!D26-'NonMC ConsumerChoice'!D23</f>
        <v>753.19656400000008</v>
      </c>
      <c r="R28" s="71">
        <f>'NonMC ConsumerChoice'!B26-'NonMC ConsumerChoice'!B23</f>
        <v>2587.9358999999995</v>
      </c>
      <c r="S28" s="71">
        <f t="shared" si="9"/>
        <v>1834.7393359999994</v>
      </c>
      <c r="T28" s="36">
        <f t="shared" si="10"/>
        <v>9038.3587680000019</v>
      </c>
      <c r="U28" s="36">
        <f t="shared" si="10"/>
        <v>31055.230799999994</v>
      </c>
      <c r="V28" s="36">
        <f t="shared" si="10"/>
        <v>22016.872031999992</v>
      </c>
    </row>
    <row r="29" spans="1:22" x14ac:dyDescent="0.2">
      <c r="A29" s="61" t="s">
        <v>94</v>
      </c>
      <c r="B29" s="43"/>
      <c r="C29" s="53">
        <f>+R25+R24+R23</f>
        <v>1704.2973999999999</v>
      </c>
      <c r="D29" s="53">
        <f>+S25+S24+S24</f>
        <v>1153.5048400000001</v>
      </c>
      <c r="E29" s="53">
        <f>+Q24+Q24+Q25</f>
        <v>550.79256000000009</v>
      </c>
      <c r="F29" s="50"/>
      <c r="P29" s="43"/>
    </row>
    <row r="30" spans="1:22" x14ac:dyDescent="0.2">
      <c r="C30" s="53"/>
      <c r="D30" s="62"/>
      <c r="E30" s="62"/>
      <c r="Q30" s="71">
        <f>+Q27+Q24</f>
        <v>459.75948199999999</v>
      </c>
      <c r="S30" s="71">
        <f>+S27+S24</f>
        <v>818.96311799999967</v>
      </c>
    </row>
    <row r="31" spans="1:22" x14ac:dyDescent="0.2">
      <c r="D31" s="63"/>
      <c r="E31" s="63"/>
      <c r="P31" s="67"/>
    </row>
    <row r="32" spans="1:22" x14ac:dyDescent="0.2">
      <c r="A32" s="43" t="s">
        <v>6</v>
      </c>
      <c r="D32" s="63"/>
      <c r="E32" s="63"/>
      <c r="P32" s="53"/>
    </row>
    <row r="33" spans="1:22" x14ac:dyDescent="0.2">
      <c r="A33" s="43" t="s">
        <v>10</v>
      </c>
      <c r="D33" s="63"/>
      <c r="E33" s="63"/>
      <c r="H33" s="67"/>
      <c r="I33" s="67"/>
      <c r="J33" s="67"/>
      <c r="K33" s="67"/>
      <c r="L33" s="67"/>
      <c r="M33" s="67"/>
      <c r="N33" s="67"/>
      <c r="O33" s="67"/>
      <c r="P33" s="53"/>
    </row>
    <row r="34" spans="1:22" x14ac:dyDescent="0.2">
      <c r="D34" s="63"/>
      <c r="E34" s="63"/>
      <c r="H34" s="70"/>
      <c r="I34" s="70"/>
      <c r="J34" s="70"/>
      <c r="K34" s="70"/>
      <c r="L34" s="70"/>
      <c r="M34" s="70"/>
      <c r="N34" s="70"/>
      <c r="O34" s="70"/>
      <c r="P34" s="67"/>
    </row>
    <row r="35" spans="1:22" x14ac:dyDescent="0.2">
      <c r="A35" s="49" t="s">
        <v>62</v>
      </c>
      <c r="D35" s="63"/>
      <c r="E35" s="63"/>
      <c r="H35" s="67"/>
      <c r="I35" s="67"/>
      <c r="J35" s="67"/>
      <c r="K35" s="67"/>
      <c r="L35" s="67"/>
      <c r="M35" s="67"/>
      <c r="N35" s="67"/>
      <c r="O35" s="67"/>
      <c r="T35" s="68" t="s">
        <v>66</v>
      </c>
      <c r="U35" s="68" t="s">
        <v>70</v>
      </c>
    </row>
    <row r="36" spans="1:22" x14ac:dyDescent="0.2">
      <c r="A36" s="177" t="s">
        <v>76</v>
      </c>
      <c r="B36" s="178"/>
      <c r="C36" s="179">
        <f>+R36+R39</f>
        <v>1925.9021000000002</v>
      </c>
      <c r="D36" s="180">
        <f t="shared" ref="D36:D41" si="15">+C36-E36</f>
        <v>1457.6521000000002</v>
      </c>
      <c r="E36" s="180">
        <v>468.25</v>
      </c>
      <c r="F36" s="179">
        <f>+E36+50</f>
        <v>518.25</v>
      </c>
      <c r="G36" s="179">
        <f>+E36+100</f>
        <v>568.25</v>
      </c>
      <c r="H36" s="181">
        <f>(D36-S36)*0.867</f>
        <v>1208.1056307000001</v>
      </c>
      <c r="I36" s="181">
        <f>+Q36</f>
        <v>136.38</v>
      </c>
      <c r="J36" s="181">
        <f>+S36</f>
        <v>64.22</v>
      </c>
      <c r="K36" s="181">
        <f>+E36-I36</f>
        <v>331.87</v>
      </c>
      <c r="L36" s="181">
        <f t="shared" ref="L36:L41" si="16">K36*12</f>
        <v>3982.44</v>
      </c>
      <c r="M36" s="181">
        <f>+D36-J36</f>
        <v>1393.4321000000002</v>
      </c>
      <c r="N36" s="181">
        <f>+M36*12</f>
        <v>16721.185200000004</v>
      </c>
      <c r="O36" s="181">
        <f>+L36+N36</f>
        <v>20703.625200000002</v>
      </c>
      <c r="P36" s="73" t="s">
        <v>63</v>
      </c>
      <c r="Q36" s="71">
        <f>'MAPD PPO'!D34</f>
        <v>136.38</v>
      </c>
      <c r="R36" s="71">
        <f>+'MAPD PPO'!B12</f>
        <v>200.6</v>
      </c>
      <c r="S36" s="71">
        <f>+R36-Q36</f>
        <v>64.22</v>
      </c>
      <c r="T36" s="36">
        <f t="shared" ref="T36:V41" si="17">+Q36*12</f>
        <v>1636.56</v>
      </c>
      <c r="U36" s="36">
        <f t="shared" si="17"/>
        <v>2407.1999999999998</v>
      </c>
      <c r="V36" s="36">
        <f t="shared" si="17"/>
        <v>770.64</v>
      </c>
    </row>
    <row r="37" spans="1:22" x14ac:dyDescent="0.2">
      <c r="A37" s="230" t="s">
        <v>88</v>
      </c>
      <c r="B37" s="230"/>
      <c r="C37" s="228">
        <f>+R37+R38</f>
        <v>1503.6974</v>
      </c>
      <c r="D37" s="228">
        <f t="shared" si="15"/>
        <v>799.37739999999997</v>
      </c>
      <c r="E37" s="228">
        <v>704.32</v>
      </c>
      <c r="F37" s="228">
        <f>E37+50</f>
        <v>754.32</v>
      </c>
      <c r="G37" s="228">
        <f>E37+100</f>
        <v>804.32</v>
      </c>
      <c r="H37" s="228">
        <f>+(D37-S37)*0.867</f>
        <v>602.32865579999998</v>
      </c>
      <c r="I37" s="228">
        <f>+Q37</f>
        <v>95.950000000000017</v>
      </c>
      <c r="J37" s="228">
        <f>+S37</f>
        <v>104.64999999999998</v>
      </c>
      <c r="K37" s="229">
        <f t="shared" ref="K37:K41" si="18">+E37-I37</f>
        <v>608.37</v>
      </c>
      <c r="L37" s="229">
        <f t="shared" si="16"/>
        <v>7300.4400000000005</v>
      </c>
      <c r="M37" s="229">
        <f t="shared" ref="M37:M41" si="19">+D37-J37</f>
        <v>694.72739999999999</v>
      </c>
      <c r="N37" s="229">
        <f t="shared" ref="N37:N41" si="20">+M37*12</f>
        <v>8336.7288000000008</v>
      </c>
      <c r="O37" s="229">
        <f t="shared" ref="O37:O41" si="21">+L37+N37</f>
        <v>15637.168800000001</v>
      </c>
      <c r="P37" s="73" t="s">
        <v>64</v>
      </c>
      <c r="Q37" s="71">
        <f>'MAPD PPO'!D35-'MAPD PPO'!D34</f>
        <v>95.950000000000017</v>
      </c>
      <c r="R37" s="71">
        <f>+'MAPD PPO'!B12</f>
        <v>200.6</v>
      </c>
      <c r="S37" s="71">
        <f>+R37-Q37</f>
        <v>104.64999999999998</v>
      </c>
      <c r="T37" s="36">
        <f t="shared" si="17"/>
        <v>1151.4000000000001</v>
      </c>
      <c r="U37" s="36">
        <f t="shared" si="17"/>
        <v>2407.1999999999998</v>
      </c>
      <c r="V37" s="36">
        <f t="shared" si="17"/>
        <v>1255.7999999999997</v>
      </c>
    </row>
    <row r="38" spans="1:22" x14ac:dyDescent="0.2">
      <c r="A38" s="177" t="s">
        <v>78</v>
      </c>
      <c r="B38" s="178"/>
      <c r="C38" s="179">
        <f>+R36+R40</f>
        <v>1120.7626999999998</v>
      </c>
      <c r="D38" s="180">
        <f t="shared" si="15"/>
        <v>700.82269999999971</v>
      </c>
      <c r="E38" s="180">
        <v>419.94</v>
      </c>
      <c r="F38" s="179">
        <f>+E38+50</f>
        <v>469.94</v>
      </c>
      <c r="G38" s="179">
        <f>+E38+100</f>
        <v>519.94000000000005</v>
      </c>
      <c r="H38" s="179">
        <f>+(D38-S36)*0.867</f>
        <v>551.93454089999977</v>
      </c>
      <c r="I38" s="179">
        <f>+Q36</f>
        <v>136.38</v>
      </c>
      <c r="J38" s="179">
        <f>+S36</f>
        <v>64.22</v>
      </c>
      <c r="K38" s="181">
        <f t="shared" si="18"/>
        <v>283.56</v>
      </c>
      <c r="L38" s="181">
        <f t="shared" si="16"/>
        <v>3402.7200000000003</v>
      </c>
      <c r="M38" s="181">
        <f t="shared" si="19"/>
        <v>636.60269999999969</v>
      </c>
      <c r="N38" s="181">
        <f t="shared" si="20"/>
        <v>7639.2323999999962</v>
      </c>
      <c r="O38" s="181">
        <f t="shared" si="21"/>
        <v>11041.952399999996</v>
      </c>
      <c r="P38" s="73" t="s">
        <v>72</v>
      </c>
      <c r="Q38" s="71">
        <f>'NonMC ConsumerChoice'!D33</f>
        <v>592.01402699999994</v>
      </c>
      <c r="R38" s="71">
        <f>'NonMC ConsumerChoice'!B33</f>
        <v>1303.0974000000001</v>
      </c>
      <c r="S38" s="71">
        <f>+R38-Q38</f>
        <v>711.08337300000017</v>
      </c>
      <c r="T38" s="36">
        <f t="shared" si="17"/>
        <v>7104.1683239999993</v>
      </c>
      <c r="U38" s="36">
        <f t="shared" si="17"/>
        <v>15637.168800000001</v>
      </c>
      <c r="V38" s="36">
        <f t="shared" si="17"/>
        <v>8533.0004760000011</v>
      </c>
    </row>
    <row r="39" spans="1:22" x14ac:dyDescent="0.2">
      <c r="A39" s="172" t="s">
        <v>84</v>
      </c>
      <c r="B39" s="173"/>
      <c r="C39" s="174">
        <f>+R36+R41</f>
        <v>2788.5358999999994</v>
      </c>
      <c r="D39" s="175">
        <f t="shared" si="15"/>
        <v>2082.8858999999993</v>
      </c>
      <c r="E39" s="175">
        <v>705.65</v>
      </c>
      <c r="F39" s="174">
        <f>+E39+50</f>
        <v>755.65</v>
      </c>
      <c r="G39" s="174">
        <f>+E39+100</f>
        <v>805.65</v>
      </c>
      <c r="H39" s="174">
        <f>+(D39-S36)*0.867</f>
        <v>1750.1833352999993</v>
      </c>
      <c r="I39" s="174">
        <f>+Q36</f>
        <v>136.38</v>
      </c>
      <c r="J39" s="174">
        <f>+S36</f>
        <v>64.22</v>
      </c>
      <c r="K39" s="176">
        <f t="shared" si="18"/>
        <v>569.27</v>
      </c>
      <c r="L39" s="176">
        <f t="shared" si="16"/>
        <v>6831.24</v>
      </c>
      <c r="M39" s="176">
        <f t="shared" si="19"/>
        <v>2018.6658999999993</v>
      </c>
      <c r="N39" s="176">
        <f t="shared" si="20"/>
        <v>24223.990799999992</v>
      </c>
      <c r="O39" s="176">
        <f t="shared" si="21"/>
        <v>31055.23079999999</v>
      </c>
      <c r="P39" s="73" t="s">
        <v>67</v>
      </c>
      <c r="Q39" s="71">
        <f>'NonMC ConsumerChoice'!D34-'NonMC ConsumerChoice'!D33</f>
        <v>320.75250600000015</v>
      </c>
      <c r="R39" s="71">
        <f>'NonMC ConsumerChoice'!B34-'NonMC ConsumerChoice'!B33</f>
        <v>1725.3021000000003</v>
      </c>
      <c r="S39" s="71">
        <f>+R39-Q39</f>
        <v>1404.5495940000001</v>
      </c>
      <c r="T39" s="36">
        <f t="shared" si="17"/>
        <v>3849.0300720000018</v>
      </c>
      <c r="U39" s="36">
        <f t="shared" si="17"/>
        <v>20703.625200000002</v>
      </c>
      <c r="V39" s="36">
        <f t="shared" si="17"/>
        <v>16854.595128000001</v>
      </c>
    </row>
    <row r="40" spans="1:22" x14ac:dyDescent="0.2">
      <c r="A40" s="58" t="s">
        <v>85</v>
      </c>
      <c r="B40" s="82"/>
      <c r="C40" s="83">
        <f>+R36+R38+R40</f>
        <v>2423.8600999999999</v>
      </c>
      <c r="D40" s="84">
        <f t="shared" si="15"/>
        <v>1465.5101</v>
      </c>
      <c r="E40" s="84">
        <v>958.35</v>
      </c>
      <c r="F40" s="84">
        <f>E40+50</f>
        <v>1008.35</v>
      </c>
      <c r="G40" s="83">
        <f>E40+100</f>
        <v>1058.3499999999999</v>
      </c>
      <c r="H40" s="83">
        <f>+(D40-S37)*0.867</f>
        <v>1179.8657066999999</v>
      </c>
      <c r="I40" s="83">
        <f>+Q37</f>
        <v>95.950000000000017</v>
      </c>
      <c r="J40" s="83">
        <f>+S37</f>
        <v>104.64999999999998</v>
      </c>
      <c r="K40" s="227">
        <f t="shared" si="18"/>
        <v>862.4</v>
      </c>
      <c r="L40" s="227">
        <f t="shared" si="16"/>
        <v>10348.799999999999</v>
      </c>
      <c r="M40" s="227">
        <f t="shared" si="19"/>
        <v>1360.8600999999999</v>
      </c>
      <c r="N40" s="227">
        <f t="shared" si="20"/>
        <v>16330.321199999998</v>
      </c>
      <c r="O40" s="227">
        <f t="shared" si="21"/>
        <v>26679.121199999998</v>
      </c>
      <c r="P40" s="73" t="s">
        <v>68</v>
      </c>
      <c r="Q40" s="71">
        <f>'NonMC ConsumerChoice'!D35-'NonMC ConsumerChoice'!D33</f>
        <v>269.50042700000006</v>
      </c>
      <c r="R40" s="71">
        <f>'NonMC ConsumerChoice'!B35-'NonMC ConsumerChoice'!B33</f>
        <v>920.16269999999986</v>
      </c>
      <c r="S40" s="71">
        <f>+R40-Q40</f>
        <v>650.6622729999998</v>
      </c>
      <c r="T40" s="36">
        <f t="shared" si="17"/>
        <v>3234.0051240000007</v>
      </c>
      <c r="U40" s="36">
        <f t="shared" si="17"/>
        <v>11041.952399999998</v>
      </c>
      <c r="V40" s="36">
        <f t="shared" si="17"/>
        <v>7807.9472759999971</v>
      </c>
    </row>
    <row r="41" spans="1:22" x14ac:dyDescent="0.2">
      <c r="A41" s="222" t="s">
        <v>86</v>
      </c>
      <c r="B41" s="223"/>
      <c r="C41" s="224">
        <f>+R36+R37+R40</f>
        <v>1321.3626999999999</v>
      </c>
      <c r="D41" s="225">
        <f t="shared" si="15"/>
        <v>765.13269999999989</v>
      </c>
      <c r="E41" s="225">
        <v>556.23</v>
      </c>
      <c r="F41" s="224">
        <f>+E41+50</f>
        <v>606.23</v>
      </c>
      <c r="G41" s="224">
        <f>+E41+100</f>
        <v>656.23</v>
      </c>
      <c r="H41" s="224">
        <f>+(D41-S36)*0.867</f>
        <v>607.69131089999985</v>
      </c>
      <c r="I41" s="224">
        <f>+Q36+Q37</f>
        <v>232.33</v>
      </c>
      <c r="J41" s="224">
        <f>+S36+S37</f>
        <v>168.86999999999998</v>
      </c>
      <c r="K41" s="226">
        <f t="shared" si="18"/>
        <v>323.89999999999998</v>
      </c>
      <c r="L41" s="226">
        <f t="shared" si="16"/>
        <v>3886.7999999999997</v>
      </c>
      <c r="M41" s="226">
        <f t="shared" si="19"/>
        <v>596.26269999999988</v>
      </c>
      <c r="N41" s="226">
        <f t="shared" si="20"/>
        <v>7155.152399999999</v>
      </c>
      <c r="O41" s="226">
        <f t="shared" si="21"/>
        <v>11041.952399999998</v>
      </c>
      <c r="P41" s="74" t="s">
        <v>69</v>
      </c>
      <c r="Q41" s="71">
        <f>'NonMC ConsumerChoice'!D36-'NonMC ConsumerChoice'!D33</f>
        <v>572.61016599999994</v>
      </c>
      <c r="R41" s="71">
        <f>'NonMC ConsumerChoice'!B36-'NonMC ConsumerChoice'!B33</f>
        <v>2587.9358999999995</v>
      </c>
      <c r="S41" s="71">
        <f>+R41-Q41</f>
        <v>2015.3257339999996</v>
      </c>
      <c r="T41" s="36">
        <f t="shared" si="17"/>
        <v>6871.3219919999992</v>
      </c>
      <c r="U41" s="36">
        <f t="shared" si="17"/>
        <v>31055.230799999994</v>
      </c>
      <c r="V41" s="36">
        <f t="shared" si="17"/>
        <v>24183.908807999993</v>
      </c>
    </row>
    <row r="42" spans="1:22" x14ac:dyDescent="0.2">
      <c r="A42" s="61" t="s">
        <v>94</v>
      </c>
      <c r="B42" s="43"/>
      <c r="C42" s="53">
        <f>+R38+R37+R36</f>
        <v>1704.2973999999999</v>
      </c>
      <c r="D42" s="53">
        <f>+S38+S37+S37</f>
        <v>920.38337300000012</v>
      </c>
      <c r="E42" s="53">
        <f>+Q37+Q37+Q38</f>
        <v>783.91402700000003</v>
      </c>
      <c r="F42" s="50"/>
    </row>
    <row r="43" spans="1:22" x14ac:dyDescent="0.2">
      <c r="C43" s="53"/>
      <c r="D43" s="62"/>
      <c r="E43" s="62"/>
      <c r="F43" s="50"/>
      <c r="Q43" s="71">
        <f>+Q40+Q37</f>
        <v>365.4504270000001</v>
      </c>
      <c r="R43" s="71">
        <f>+R40+R37</f>
        <v>1120.7626999999998</v>
      </c>
      <c r="S43" s="71">
        <f>+S40+S37</f>
        <v>755.31227299999978</v>
      </c>
    </row>
    <row r="44" spans="1:22" x14ac:dyDescent="0.2">
      <c r="A44" s="60" t="s">
        <v>87</v>
      </c>
      <c r="C44" s="53">
        <f>+R11+R15</f>
        <v>1120.7626999999998</v>
      </c>
      <c r="D44" s="54">
        <f>+C44-E44</f>
        <v>674.47399999999971</v>
      </c>
      <c r="E44" s="54">
        <f>+Q12+Q15</f>
        <v>446.28870000000006</v>
      </c>
      <c r="F44" s="55">
        <f>+E44+50</f>
        <v>496.28870000000006</v>
      </c>
      <c r="G44" s="53">
        <f>+E44+100</f>
        <v>546.28870000000006</v>
      </c>
      <c r="H44" s="53">
        <f>+(D44-S12)*0.867</f>
        <v>532.2981179999997</v>
      </c>
    </row>
    <row r="45" spans="1:22" x14ac:dyDescent="0.2">
      <c r="A45" s="72"/>
      <c r="B45" s="50"/>
      <c r="C45" s="70"/>
      <c r="D45" s="65"/>
      <c r="E45" s="65"/>
      <c r="H45" s="70"/>
      <c r="I45" s="70"/>
      <c r="J45" s="70"/>
      <c r="K45" s="70"/>
      <c r="L45" s="70"/>
      <c r="M45" s="70"/>
      <c r="N45" s="70"/>
      <c r="O45" s="70"/>
    </row>
    <row r="46" spans="1:22" x14ac:dyDescent="0.2">
      <c r="A46" s="52"/>
      <c r="B46" s="43"/>
      <c r="C46" s="53"/>
      <c r="D46" s="53"/>
      <c r="E46" s="65"/>
      <c r="P46" s="50"/>
    </row>
    <row r="47" spans="1:22" x14ac:dyDescent="0.2">
      <c r="C47" s="53"/>
      <c r="D47" s="62"/>
      <c r="E47" s="62"/>
      <c r="H47" s="66"/>
      <c r="I47" s="66"/>
      <c r="J47" s="66"/>
      <c r="K47" s="66"/>
      <c r="L47" s="66"/>
      <c r="M47" s="66"/>
      <c r="N47" s="66"/>
      <c r="O47" s="66"/>
    </row>
    <row r="48" spans="1:22" x14ac:dyDescent="0.2">
      <c r="P48" s="57"/>
    </row>
    <row r="52" spans="8:16" x14ac:dyDescent="0.2">
      <c r="H52" s="67"/>
      <c r="I52" s="67"/>
      <c r="J52" s="67"/>
      <c r="K52" s="67"/>
      <c r="L52" s="67"/>
      <c r="M52" s="67"/>
      <c r="N52" s="67"/>
      <c r="O52" s="67"/>
    </row>
    <row r="53" spans="8:16" x14ac:dyDescent="0.2">
      <c r="H53" s="70"/>
      <c r="I53" s="70"/>
      <c r="J53" s="70"/>
      <c r="K53" s="70"/>
      <c r="L53" s="70"/>
      <c r="M53" s="70"/>
      <c r="N53" s="70"/>
      <c r="O53" s="70"/>
      <c r="P53" s="43"/>
    </row>
    <row r="54" spans="8:16" x14ac:dyDescent="0.2">
      <c r="P54" s="50"/>
    </row>
    <row r="55" spans="8:16" x14ac:dyDescent="0.2">
      <c r="H55" s="66"/>
      <c r="I55" s="66"/>
      <c r="J55" s="66"/>
      <c r="K55" s="66"/>
      <c r="L55" s="66"/>
      <c r="M55" s="66"/>
      <c r="N55" s="66"/>
      <c r="O55" s="66"/>
    </row>
    <row r="56" spans="8:16" x14ac:dyDescent="0.2">
      <c r="H56" s="70"/>
      <c r="I56" s="70"/>
      <c r="J56" s="70"/>
      <c r="K56" s="70"/>
      <c r="L56" s="70"/>
      <c r="M56" s="70"/>
      <c r="N56" s="70"/>
      <c r="O56" s="70"/>
      <c r="P56" s="57"/>
    </row>
    <row r="57" spans="8:16" x14ac:dyDescent="0.2">
      <c r="H57" s="70"/>
      <c r="I57" s="70"/>
      <c r="J57" s="70"/>
      <c r="K57" s="70"/>
      <c r="L57" s="70"/>
      <c r="M57" s="70"/>
      <c r="N57" s="70"/>
      <c r="O57" s="70"/>
      <c r="P57" s="50"/>
    </row>
    <row r="58" spans="8:16" x14ac:dyDescent="0.2">
      <c r="H58" s="70"/>
      <c r="I58" s="70"/>
      <c r="J58" s="70"/>
      <c r="K58" s="70"/>
      <c r="L58" s="70"/>
      <c r="M58" s="70"/>
      <c r="N58" s="70"/>
      <c r="O58" s="70"/>
      <c r="P58" s="50"/>
    </row>
    <row r="59" spans="8:16" x14ac:dyDescent="0.2">
      <c r="H59" s="70"/>
      <c r="I59" s="70"/>
      <c r="J59" s="70"/>
      <c r="K59" s="70"/>
      <c r="L59" s="70"/>
      <c r="M59" s="70"/>
      <c r="N59" s="70"/>
      <c r="O59" s="70"/>
      <c r="P59" s="50"/>
    </row>
    <row r="60" spans="8:16" x14ac:dyDescent="0.2">
      <c r="H60" s="70"/>
      <c r="I60" s="70"/>
      <c r="J60" s="70"/>
      <c r="K60" s="70"/>
      <c r="L60" s="70"/>
      <c r="M60" s="70"/>
      <c r="N60" s="70"/>
      <c r="O60" s="70"/>
      <c r="P60" s="50"/>
    </row>
    <row r="61" spans="8:16" x14ac:dyDescent="0.2">
      <c r="P61" s="50"/>
    </row>
    <row r="64" spans="8:16" x14ac:dyDescent="0.2">
      <c r="H64" s="70"/>
      <c r="I64" s="70"/>
      <c r="J64" s="70"/>
      <c r="K64" s="70"/>
      <c r="L64" s="70"/>
      <c r="M64" s="70"/>
      <c r="N64" s="70"/>
      <c r="O64" s="70"/>
    </row>
    <row r="65" spans="8:16" x14ac:dyDescent="0.2">
      <c r="P65" s="50"/>
    </row>
    <row r="66" spans="8:16" x14ac:dyDescent="0.2">
      <c r="H66" s="66"/>
      <c r="I66" s="66"/>
      <c r="J66" s="66"/>
      <c r="K66" s="66"/>
      <c r="L66" s="66"/>
      <c r="M66" s="66"/>
      <c r="N66" s="66"/>
      <c r="O66" s="66"/>
    </row>
    <row r="67" spans="8:16" x14ac:dyDescent="0.2">
      <c r="P67" s="57"/>
    </row>
  </sheetData>
  <mergeCells count="5">
    <mergeCell ref="C5:E5"/>
    <mergeCell ref="H6:H8"/>
    <mergeCell ref="A1:G1"/>
    <mergeCell ref="A2:G2"/>
    <mergeCell ref="F5:G5"/>
  </mergeCells>
  <pageMargins left="0.7" right="0.7" top="0.75" bottom="0.75" header="0.3" footer="0.3"/>
  <pageSetup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AA27"/>
  <sheetViews>
    <sheetView workbookViewId="0">
      <selection activeCell="J10" sqref="J10"/>
    </sheetView>
  </sheetViews>
  <sheetFormatPr defaultRowHeight="12.75" x14ac:dyDescent="0.2"/>
  <cols>
    <col min="1" max="1" width="49.28515625" customWidth="1"/>
    <col min="3" max="3" width="11.28515625" bestFit="1" customWidth="1"/>
    <col min="4" max="5" width="14.42578125" bestFit="1" customWidth="1"/>
    <col min="6" max="7" width="14.42578125" hidden="1" customWidth="1"/>
    <col min="8" max="8" width="25.28515625" hidden="1" customWidth="1"/>
    <col min="9" max="10" width="16.5703125" customWidth="1"/>
    <col min="11" max="14" width="16.42578125" customWidth="1"/>
    <col min="15" max="16" width="14.140625" customWidth="1"/>
    <col min="17" max="20" width="15.5703125" customWidth="1"/>
    <col min="21" max="21" width="21.42578125" bestFit="1" customWidth="1"/>
    <col min="22" max="22" width="12.140625" bestFit="1" customWidth="1"/>
    <col min="23" max="23" width="9.42578125" bestFit="1" customWidth="1"/>
    <col min="24" max="24" width="8.7109375" bestFit="1" customWidth="1"/>
  </cols>
  <sheetData>
    <row r="5" spans="1:27" ht="15.75" x14ac:dyDescent="0.25">
      <c r="A5" s="43" t="s">
        <v>5</v>
      </c>
      <c r="B5" s="39"/>
      <c r="C5" s="44">
        <v>2024</v>
      </c>
      <c r="D5" s="44">
        <v>2024</v>
      </c>
      <c r="E5" s="44">
        <v>2024</v>
      </c>
      <c r="F5" s="44">
        <v>2021</v>
      </c>
      <c r="G5" s="44">
        <v>2021</v>
      </c>
      <c r="H5" s="162" t="s">
        <v>96</v>
      </c>
      <c r="I5" s="101"/>
      <c r="J5" s="104"/>
      <c r="K5" s="101"/>
      <c r="L5" s="104"/>
      <c r="M5" s="146"/>
      <c r="N5" s="146"/>
      <c r="O5" s="101"/>
      <c r="P5" s="104"/>
      <c r="Q5" s="101"/>
      <c r="R5" s="104"/>
      <c r="S5" s="146"/>
      <c r="T5" s="146"/>
      <c r="U5" s="36"/>
      <c r="V5" s="71"/>
      <c r="W5" s="77"/>
      <c r="X5" s="36"/>
    </row>
    <row r="6" spans="1:27" ht="15.75" x14ac:dyDescent="0.25">
      <c r="A6" s="43" t="s">
        <v>6</v>
      </c>
      <c r="B6" s="39"/>
      <c r="C6" s="45" t="s">
        <v>2</v>
      </c>
      <c r="D6" s="46" t="s">
        <v>3</v>
      </c>
      <c r="E6" s="46" t="s">
        <v>8</v>
      </c>
      <c r="F6" s="46" t="s">
        <v>8</v>
      </c>
      <c r="G6" s="46" t="s">
        <v>8</v>
      </c>
      <c r="H6" s="162"/>
      <c r="I6" s="101"/>
      <c r="J6" s="104"/>
      <c r="K6" s="101"/>
      <c r="L6" s="104"/>
      <c r="M6" s="146"/>
      <c r="N6" s="146"/>
      <c r="O6" s="101"/>
      <c r="P6" s="104"/>
      <c r="Q6" s="101"/>
      <c r="R6" s="104"/>
      <c r="S6" s="146"/>
      <c r="T6" s="146"/>
      <c r="U6" s="36"/>
      <c r="V6" s="71"/>
      <c r="W6" s="71"/>
      <c r="X6" s="36"/>
    </row>
    <row r="7" spans="1:27" ht="15.75" x14ac:dyDescent="0.25">
      <c r="A7" s="43" t="s">
        <v>7</v>
      </c>
      <c r="B7" s="39"/>
      <c r="C7" s="45" t="s">
        <v>1</v>
      </c>
      <c r="D7" s="46" t="s">
        <v>4</v>
      </c>
      <c r="E7" s="46" t="s">
        <v>4</v>
      </c>
      <c r="F7" s="46" t="s">
        <v>4</v>
      </c>
      <c r="G7" s="46" t="s">
        <v>4</v>
      </c>
      <c r="H7" s="162"/>
      <c r="I7" s="101"/>
      <c r="J7" s="104"/>
      <c r="K7" s="101"/>
      <c r="L7" s="104"/>
      <c r="M7" s="146"/>
      <c r="N7" s="146"/>
      <c r="O7" s="101"/>
      <c r="P7" s="104"/>
      <c r="Q7" s="101"/>
      <c r="R7" s="104"/>
      <c r="S7" s="146"/>
      <c r="T7" s="146"/>
      <c r="U7" s="36"/>
      <c r="V7" s="71"/>
      <c r="W7" s="71"/>
      <c r="X7" s="36"/>
    </row>
    <row r="8" spans="1:27" ht="15.75" x14ac:dyDescent="0.25">
      <c r="A8" s="36"/>
      <c r="B8" s="39"/>
      <c r="C8" s="45"/>
      <c r="D8" s="46"/>
      <c r="E8" s="47"/>
      <c r="F8" s="48">
        <v>50</v>
      </c>
      <c r="G8" s="48">
        <v>100</v>
      </c>
      <c r="H8" s="40"/>
      <c r="I8" s="40" t="s">
        <v>106</v>
      </c>
      <c r="J8" s="40"/>
      <c r="K8" s="40" t="s">
        <v>106</v>
      </c>
      <c r="L8" s="40"/>
      <c r="M8" s="40" t="s">
        <v>123</v>
      </c>
      <c r="N8" s="40"/>
      <c r="O8" s="40" t="s">
        <v>105</v>
      </c>
      <c r="P8" s="40"/>
      <c r="Q8" s="40" t="s">
        <v>105</v>
      </c>
      <c r="R8" s="40" t="s">
        <v>124</v>
      </c>
      <c r="S8" s="40"/>
      <c r="T8" s="40"/>
      <c r="U8" s="36"/>
      <c r="V8" s="71"/>
      <c r="W8" s="71"/>
      <c r="X8" s="36"/>
    </row>
    <row r="9" spans="1:27" ht="15.75" x14ac:dyDescent="0.25">
      <c r="A9" s="49" t="s">
        <v>33</v>
      </c>
      <c r="B9" s="50"/>
      <c r="C9" s="51"/>
      <c r="D9" s="38"/>
      <c r="E9" s="38"/>
      <c r="F9" s="39"/>
      <c r="G9" s="36"/>
      <c r="H9" s="40"/>
      <c r="I9" s="40" t="s">
        <v>103</v>
      </c>
      <c r="J9" s="40" t="s">
        <v>125</v>
      </c>
      <c r="K9" s="40" t="s">
        <v>104</v>
      </c>
      <c r="L9" s="40" t="s">
        <v>125</v>
      </c>
      <c r="M9" s="40"/>
      <c r="N9" s="40" t="s">
        <v>125</v>
      </c>
      <c r="O9" s="40" t="s">
        <v>103</v>
      </c>
      <c r="P9" s="40" t="s">
        <v>125</v>
      </c>
      <c r="Q9" s="40" t="s">
        <v>104</v>
      </c>
      <c r="R9" s="40" t="s">
        <v>125</v>
      </c>
      <c r="S9" s="40"/>
      <c r="T9" s="40" t="s">
        <v>125</v>
      </c>
      <c r="U9" s="36"/>
      <c r="V9" s="68" t="s">
        <v>75</v>
      </c>
      <c r="W9" s="68" t="s">
        <v>52</v>
      </c>
      <c r="X9" s="87" t="s">
        <v>53</v>
      </c>
    </row>
    <row r="10" spans="1:27" x14ac:dyDescent="0.2">
      <c r="A10" s="222" t="s">
        <v>34</v>
      </c>
      <c r="B10" s="223"/>
      <c r="C10" s="224">
        <f>+W10+W13</f>
        <v>2408.1342</v>
      </c>
      <c r="D10" s="225">
        <f t="shared" ref="D10:D15" si="0">+C10-E10</f>
        <v>1554.9045999999998</v>
      </c>
      <c r="E10" s="225">
        <f>+V10+V13</f>
        <v>853.22960000000012</v>
      </c>
      <c r="F10" s="224">
        <f>+E10+50</f>
        <v>903.22960000000012</v>
      </c>
      <c r="G10" s="224">
        <f>+E10+100</f>
        <v>953.22960000000012</v>
      </c>
      <c r="H10" s="226">
        <f>+(D10-X10)*0.867</f>
        <v>1174.1820882</v>
      </c>
      <c r="I10" s="226">
        <f>+V10</f>
        <v>170.1</v>
      </c>
      <c r="J10" s="226">
        <f>+I10*12</f>
        <v>2041.1999999999998</v>
      </c>
      <c r="K10" s="226">
        <f>+X10</f>
        <v>200.6</v>
      </c>
      <c r="L10" s="226">
        <f t="shared" ref="L10:L15" si="1">+K10*12</f>
        <v>2407.1999999999998</v>
      </c>
      <c r="M10" s="226">
        <f>+K10+I10</f>
        <v>370.7</v>
      </c>
      <c r="N10" s="226">
        <f>+J10+L10</f>
        <v>4448.3999999999996</v>
      </c>
      <c r="O10" s="226">
        <f>+V13</f>
        <v>683.1296000000001</v>
      </c>
      <c r="P10" s="226">
        <f t="shared" ref="P10:P15" si="2">+O10*12</f>
        <v>8197.5552000000007</v>
      </c>
      <c r="Q10" s="226">
        <f>+X13</f>
        <v>1354.3045999999999</v>
      </c>
      <c r="R10" s="226">
        <f t="shared" ref="R10:R15" si="3">+Q10*12</f>
        <v>16251.655199999999</v>
      </c>
      <c r="S10" s="226">
        <f>+Q10+O10</f>
        <v>2037.4342000000001</v>
      </c>
      <c r="T10" s="226">
        <f>+P10+R10</f>
        <v>24449.2104</v>
      </c>
      <c r="U10" s="73" t="s">
        <v>57</v>
      </c>
      <c r="V10" s="71">
        <v>170.1</v>
      </c>
      <c r="W10" s="71">
        <f>+V10+'MAPD PPO'!B12</f>
        <v>370.7</v>
      </c>
      <c r="X10" s="71">
        <f>+W10-V10</f>
        <v>200.6</v>
      </c>
    </row>
    <row r="11" spans="1:27" x14ac:dyDescent="0.2">
      <c r="A11" s="58" t="s">
        <v>35</v>
      </c>
      <c r="B11" s="82"/>
      <c r="C11" s="83">
        <f>+W11+W12</f>
        <v>1927.298</v>
      </c>
      <c r="D11" s="84">
        <f t="shared" si="0"/>
        <v>1517.1179999999999</v>
      </c>
      <c r="E11" s="84">
        <f>V11+V12</f>
        <v>410.18</v>
      </c>
      <c r="F11" s="83">
        <f>E11+50</f>
        <v>460.18</v>
      </c>
      <c r="G11" s="83">
        <f>E11+100</f>
        <v>510.18</v>
      </c>
      <c r="H11" s="227">
        <f>+(D11-X11)*0.867</f>
        <v>1262.8704659999999</v>
      </c>
      <c r="I11" s="227">
        <f>+V11</f>
        <v>310.18</v>
      </c>
      <c r="J11" s="227">
        <f t="shared" ref="J11:J15" si="4">+I11*12</f>
        <v>3722.16</v>
      </c>
      <c r="K11" s="227">
        <f>+X11</f>
        <v>60.519999999999982</v>
      </c>
      <c r="L11" s="227">
        <f t="shared" si="1"/>
        <v>726.23999999999978</v>
      </c>
      <c r="M11" s="227">
        <f t="shared" ref="M11:M15" si="5">+K11+I11</f>
        <v>370.7</v>
      </c>
      <c r="N11" s="227">
        <f t="shared" ref="N11:N15" si="6">+J11+L11</f>
        <v>4448.3999999999996</v>
      </c>
      <c r="O11" s="227">
        <f>+V12</f>
        <v>100</v>
      </c>
      <c r="P11" s="227">
        <f t="shared" si="2"/>
        <v>1200</v>
      </c>
      <c r="Q11" s="227">
        <f>+X12</f>
        <v>1456.598</v>
      </c>
      <c r="R11" s="227">
        <f t="shared" si="3"/>
        <v>17479.175999999999</v>
      </c>
      <c r="S11" s="227">
        <f t="shared" ref="S11:S15" si="7">+Q11+O11</f>
        <v>1556.598</v>
      </c>
      <c r="T11" s="227">
        <f>+P11+R11</f>
        <v>18679.175999999999</v>
      </c>
      <c r="U11" s="73" t="s">
        <v>73</v>
      </c>
      <c r="V11" s="71">
        <f>'MAPD PPO'!D13+170.1</f>
        <v>310.18</v>
      </c>
      <c r="W11" s="71">
        <f>'MAPD PPO'!C12+170.1</f>
        <v>370.7</v>
      </c>
      <c r="X11" s="71">
        <f t="shared" ref="X11:X15" si="8">+W11-V11</f>
        <v>60.519999999999982</v>
      </c>
    </row>
    <row r="12" spans="1:27" x14ac:dyDescent="0.2">
      <c r="A12" s="177" t="s">
        <v>36</v>
      </c>
      <c r="B12" s="178"/>
      <c r="C12" s="179">
        <f>+W10+W14</f>
        <v>1459.5206999999998</v>
      </c>
      <c r="D12" s="180">
        <f t="shared" si="0"/>
        <v>917.94849999999974</v>
      </c>
      <c r="E12" s="180">
        <f>V14+V10</f>
        <v>541.57220000000007</v>
      </c>
      <c r="F12" s="179">
        <f>E12+50</f>
        <v>591.57220000000007</v>
      </c>
      <c r="G12" s="179">
        <f>+E12+100</f>
        <v>641.57220000000007</v>
      </c>
      <c r="H12" s="181">
        <f>+(D12-X10)*0.867</f>
        <v>621.94114949999971</v>
      </c>
      <c r="I12" s="181">
        <f>+V10</f>
        <v>170.1</v>
      </c>
      <c r="J12" s="181">
        <f t="shared" si="4"/>
        <v>2041.1999999999998</v>
      </c>
      <c r="K12" s="181">
        <f>+X10</f>
        <v>200.6</v>
      </c>
      <c r="L12" s="181">
        <f t="shared" si="1"/>
        <v>2407.1999999999998</v>
      </c>
      <c r="M12" s="181">
        <f t="shared" si="5"/>
        <v>370.7</v>
      </c>
      <c r="N12" s="181">
        <f t="shared" si="6"/>
        <v>4448.3999999999996</v>
      </c>
      <c r="O12" s="181">
        <f>+V14</f>
        <v>371.47220000000004</v>
      </c>
      <c r="P12" s="181">
        <f t="shared" si="2"/>
        <v>4457.6664000000001</v>
      </c>
      <c r="Q12" s="181">
        <f>+X14</f>
        <v>717.34849999999972</v>
      </c>
      <c r="R12" s="181">
        <f t="shared" si="3"/>
        <v>8608.1819999999971</v>
      </c>
      <c r="S12" s="181">
        <f t="shared" si="7"/>
        <v>1088.8206999999998</v>
      </c>
      <c r="T12" s="181">
        <f t="shared" ref="T11:T15" si="9">+P12+R12</f>
        <v>13065.848399999997</v>
      </c>
      <c r="U12" s="73" t="s">
        <v>74</v>
      </c>
      <c r="V12" s="71">
        <f>'NonMCHealth Center'!D13</f>
        <v>100</v>
      </c>
      <c r="W12" s="71">
        <f>'NonMCHealth Center'!B13</f>
        <v>1556.598</v>
      </c>
      <c r="X12" s="71">
        <f t="shared" si="8"/>
        <v>1456.598</v>
      </c>
    </row>
    <row r="13" spans="1:27" x14ac:dyDescent="0.2">
      <c r="A13" s="182" t="s">
        <v>38</v>
      </c>
      <c r="B13" s="183"/>
      <c r="C13" s="184">
        <f>+W10+W15</f>
        <v>3422.9992999999995</v>
      </c>
      <c r="D13" s="185">
        <f t="shared" si="0"/>
        <v>2232.0326999999997</v>
      </c>
      <c r="E13" s="185">
        <f>V15+V10</f>
        <v>1190.9666</v>
      </c>
      <c r="F13" s="184">
        <f>+E13+50</f>
        <v>1240.9666</v>
      </c>
      <c r="G13" s="184">
        <f>+E13+100</f>
        <v>1290.9666</v>
      </c>
      <c r="H13" s="186">
        <f>+(D13-X10)*0.867</f>
        <v>1761.2521508999998</v>
      </c>
      <c r="I13" s="186">
        <f>+V10</f>
        <v>170.1</v>
      </c>
      <c r="J13" s="186">
        <f t="shared" si="4"/>
        <v>2041.1999999999998</v>
      </c>
      <c r="K13" s="186">
        <f>+X10</f>
        <v>200.6</v>
      </c>
      <c r="L13" s="186">
        <f t="shared" si="1"/>
        <v>2407.1999999999998</v>
      </c>
      <c r="M13" s="186">
        <f t="shared" si="5"/>
        <v>370.7</v>
      </c>
      <c r="N13" s="186">
        <f t="shared" si="6"/>
        <v>4448.3999999999996</v>
      </c>
      <c r="O13" s="186">
        <f>+V15</f>
        <v>1020.8666000000001</v>
      </c>
      <c r="P13" s="186">
        <f t="shared" si="2"/>
        <v>12250.3992</v>
      </c>
      <c r="Q13" s="186">
        <f>+X15</f>
        <v>2031.4326999999996</v>
      </c>
      <c r="R13" s="186">
        <f t="shared" si="3"/>
        <v>24377.192399999996</v>
      </c>
      <c r="S13" s="186">
        <f t="shared" si="7"/>
        <v>3052.2992999999997</v>
      </c>
      <c r="T13" s="186">
        <f t="shared" si="9"/>
        <v>36627.5916</v>
      </c>
      <c r="U13" s="73" t="s">
        <v>58</v>
      </c>
      <c r="V13" s="71">
        <f>'NonMCHealth Center'!D14-100</f>
        <v>683.1296000000001</v>
      </c>
      <c r="W13" s="71">
        <f>'NonMCHealth Center'!B14-'NonMCHealth Center'!B13</f>
        <v>2037.4342000000001</v>
      </c>
      <c r="X13" s="71">
        <f t="shared" si="8"/>
        <v>1354.3045999999999</v>
      </c>
      <c r="Y13">
        <f t="shared" ref="Y13:AA15" si="10">+V13*12</f>
        <v>8197.5552000000007</v>
      </c>
      <c r="Z13">
        <f t="shared" si="10"/>
        <v>24449.210400000004</v>
      </c>
      <c r="AA13">
        <f t="shared" si="10"/>
        <v>16251.655199999999</v>
      </c>
    </row>
    <row r="14" spans="1:27" x14ac:dyDescent="0.2">
      <c r="A14" s="58" t="s">
        <v>39</v>
      </c>
      <c r="B14" s="82"/>
      <c r="C14" s="83">
        <f>+W11+W12+W14</f>
        <v>3016.1187</v>
      </c>
      <c r="D14" s="84">
        <f t="shared" si="0"/>
        <v>2234.4665</v>
      </c>
      <c r="E14" s="84">
        <f>V14+V11+V12</f>
        <v>781.65219999999999</v>
      </c>
      <c r="F14" s="83">
        <f>E14+50</f>
        <v>831.65219999999999</v>
      </c>
      <c r="G14" s="83">
        <f>E14+100</f>
        <v>881.65219999999999</v>
      </c>
      <c r="H14" s="83">
        <f>+(D14-X11)*0.867</f>
        <v>1884.8116155</v>
      </c>
      <c r="I14" s="83">
        <f>+V11</f>
        <v>310.18</v>
      </c>
      <c r="J14" s="227">
        <f t="shared" si="4"/>
        <v>3722.16</v>
      </c>
      <c r="K14" s="83">
        <f>+X11</f>
        <v>60.519999999999982</v>
      </c>
      <c r="L14" s="227">
        <f t="shared" si="1"/>
        <v>726.23999999999978</v>
      </c>
      <c r="M14" s="227">
        <f t="shared" si="5"/>
        <v>370.7</v>
      </c>
      <c r="N14" s="227">
        <f t="shared" si="6"/>
        <v>4448.3999999999996</v>
      </c>
      <c r="O14" s="83">
        <f>+V12+V14</f>
        <v>471.47220000000004</v>
      </c>
      <c r="P14" s="227">
        <f t="shared" si="2"/>
        <v>5657.6664000000001</v>
      </c>
      <c r="Q14" s="83">
        <f>+X12+X14</f>
        <v>2173.9464999999996</v>
      </c>
      <c r="R14" s="227">
        <f t="shared" si="3"/>
        <v>26087.357999999993</v>
      </c>
      <c r="S14" s="227">
        <f t="shared" si="7"/>
        <v>2645.4186999999997</v>
      </c>
      <c r="T14" s="227">
        <f t="shared" si="9"/>
        <v>31745.024399999995</v>
      </c>
      <c r="U14" s="73" t="s">
        <v>59</v>
      </c>
      <c r="V14" s="71">
        <f>'NonMCHealth Center'!D15-100</f>
        <v>371.47220000000004</v>
      </c>
      <c r="W14" s="71">
        <f>'NonMCHealth Center'!B15-'NonMCHealth Center'!B13</f>
        <v>1088.8206999999998</v>
      </c>
      <c r="X14" s="71">
        <f t="shared" si="8"/>
        <v>717.34849999999972</v>
      </c>
      <c r="Y14">
        <f t="shared" si="10"/>
        <v>4457.6664000000001</v>
      </c>
      <c r="Z14">
        <f t="shared" si="10"/>
        <v>13065.848399999997</v>
      </c>
      <c r="AA14">
        <f t="shared" si="10"/>
        <v>8608.1819999999971</v>
      </c>
    </row>
    <row r="15" spans="1:27" x14ac:dyDescent="0.2">
      <c r="A15" s="206" t="s">
        <v>40</v>
      </c>
      <c r="B15" s="194"/>
      <c r="C15" s="195">
        <f>+W10+W11+W14</f>
        <v>1830.2206999999999</v>
      </c>
      <c r="D15" s="196">
        <f t="shared" si="0"/>
        <v>978.46849999999984</v>
      </c>
      <c r="E15" s="196">
        <f>V11+V14+V10</f>
        <v>851.75220000000002</v>
      </c>
      <c r="F15" s="195">
        <f>+E15+50</f>
        <v>901.75220000000002</v>
      </c>
      <c r="G15" s="195">
        <f>+E15+100</f>
        <v>951.75220000000002</v>
      </c>
      <c r="H15" s="195">
        <f>+(D15-X10-X10)*0.867</f>
        <v>500.49178949999981</v>
      </c>
      <c r="I15" s="195">
        <f>+V10+V11</f>
        <v>480.28</v>
      </c>
      <c r="J15" s="197">
        <f t="shared" si="4"/>
        <v>5763.36</v>
      </c>
      <c r="K15" s="195">
        <f>+X10+X11</f>
        <v>261.12</v>
      </c>
      <c r="L15" s="197">
        <f t="shared" si="1"/>
        <v>3133.44</v>
      </c>
      <c r="M15" s="197">
        <f t="shared" si="5"/>
        <v>741.4</v>
      </c>
      <c r="N15" s="197">
        <f t="shared" si="6"/>
        <v>8896.7999999999993</v>
      </c>
      <c r="O15" s="195">
        <f>+V14</f>
        <v>371.47220000000004</v>
      </c>
      <c r="P15" s="197">
        <f t="shared" si="2"/>
        <v>4457.6664000000001</v>
      </c>
      <c r="Q15" s="195">
        <f>+X14</f>
        <v>717.34849999999972</v>
      </c>
      <c r="R15" s="197">
        <f t="shared" si="3"/>
        <v>8608.1819999999971</v>
      </c>
      <c r="S15" s="197">
        <f t="shared" si="7"/>
        <v>1088.8206999999998</v>
      </c>
      <c r="T15" s="197">
        <f t="shared" si="9"/>
        <v>13065.848399999997</v>
      </c>
      <c r="U15" s="74" t="s">
        <v>60</v>
      </c>
      <c r="V15" s="71">
        <f>'NonMCHealth Center'!D16-100</f>
        <v>1020.8666000000001</v>
      </c>
      <c r="W15" s="71">
        <f>'NonMCHealth Center'!B16-'NonMCHealth Center'!B13</f>
        <v>3052.2992999999997</v>
      </c>
      <c r="X15" s="71">
        <f t="shared" si="8"/>
        <v>2031.4326999999996</v>
      </c>
      <c r="Y15">
        <f t="shared" si="10"/>
        <v>12250.3992</v>
      </c>
      <c r="Z15">
        <f t="shared" si="10"/>
        <v>36627.5916</v>
      </c>
      <c r="AA15">
        <f t="shared" si="10"/>
        <v>24377.192399999996</v>
      </c>
    </row>
    <row r="16" spans="1:27" x14ac:dyDescent="0.2">
      <c r="A16" s="86"/>
      <c r="B16" s="43"/>
      <c r="C16" s="53"/>
      <c r="D16" s="53"/>
      <c r="E16" s="53"/>
      <c r="F16" s="36"/>
      <c r="G16" s="36"/>
      <c r="H16" s="55"/>
      <c r="I16" s="55">
        <f>+V11+V11</f>
        <v>620.36</v>
      </c>
      <c r="J16" s="55">
        <f>+I16*12</f>
        <v>7444.32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36"/>
      <c r="V16" s="71"/>
      <c r="W16" s="71"/>
      <c r="X16" s="36"/>
    </row>
    <row r="17" spans="1:27" x14ac:dyDescent="0.2">
      <c r="A17" s="61"/>
      <c r="B17" s="36"/>
      <c r="C17" s="53"/>
      <c r="D17" s="54"/>
      <c r="E17" s="54"/>
      <c r="F17" s="59"/>
      <c r="G17" s="36"/>
      <c r="H17" s="53"/>
      <c r="I17" s="53">
        <f>+V10+V11+V11</f>
        <v>790.46</v>
      </c>
      <c r="J17" s="53">
        <f>+I17*12</f>
        <v>9485.52</v>
      </c>
      <c r="K17" s="53">
        <f>+X10+X11+X11</f>
        <v>321.64</v>
      </c>
      <c r="L17" s="53">
        <f>+K17*12</f>
        <v>3859.68</v>
      </c>
      <c r="M17" s="53">
        <f>+L17+J17</f>
        <v>13345.2</v>
      </c>
      <c r="N17" s="53"/>
      <c r="O17" s="53"/>
      <c r="P17" s="53"/>
      <c r="Q17" s="53"/>
      <c r="R17" s="53"/>
      <c r="S17" s="53"/>
      <c r="T17" s="53"/>
      <c r="U17" s="36"/>
      <c r="V17" s="71">
        <f>+V14+V11</f>
        <v>681.65219999999999</v>
      </c>
      <c r="W17" s="71">
        <f>+W14+W11</f>
        <v>1459.5206999999998</v>
      </c>
      <c r="X17" s="71">
        <f>+X14+X11</f>
        <v>777.8684999999997</v>
      </c>
    </row>
    <row r="19" spans="1:27" ht="15.75" x14ac:dyDescent="0.25">
      <c r="A19" s="49" t="s">
        <v>28</v>
      </c>
      <c r="B19" s="50"/>
      <c r="C19" s="51"/>
      <c r="D19" s="38"/>
      <c r="E19" s="38"/>
      <c r="F19" s="39"/>
      <c r="G19" s="36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68" t="s">
        <v>66</v>
      </c>
      <c r="W19" s="68" t="s">
        <v>70</v>
      </c>
      <c r="X19" s="36"/>
    </row>
    <row r="20" spans="1:27" x14ac:dyDescent="0.2">
      <c r="A20" s="52" t="s">
        <v>76</v>
      </c>
      <c r="B20" s="36"/>
      <c r="C20" s="53">
        <f>+W20+W23</f>
        <v>2096.0021000000002</v>
      </c>
      <c r="D20" s="54">
        <f t="shared" ref="D20:D25" si="11">+C20-E20</f>
        <v>1351.7698</v>
      </c>
      <c r="E20" s="54">
        <f>+V23+V20</f>
        <v>744.23230000000001</v>
      </c>
      <c r="F20" s="55">
        <f>+E20+50</f>
        <v>794.23230000000001</v>
      </c>
      <c r="G20" s="53">
        <f>+E20+100</f>
        <v>844.23230000000001</v>
      </c>
      <c r="H20" s="56">
        <f>+(D20-X20)*0.867</f>
        <v>998.06421660000012</v>
      </c>
      <c r="I20" s="56">
        <f>+V20</f>
        <v>170.1</v>
      </c>
      <c r="J20" s="56">
        <f t="shared" ref="J20:J25" si="12">+I20*12</f>
        <v>2041.1999999999998</v>
      </c>
      <c r="K20" s="56">
        <f>+X20</f>
        <v>200.6</v>
      </c>
      <c r="L20" s="56">
        <f t="shared" ref="L20:L25" si="13">+K20*12</f>
        <v>2407.1999999999998</v>
      </c>
      <c r="M20" s="56">
        <f t="shared" ref="M20:M25" si="14">+K20+I20</f>
        <v>370.7</v>
      </c>
      <c r="N20" s="56">
        <f t="shared" ref="N20:N25" si="15">+J20+L20</f>
        <v>4448.3999999999996</v>
      </c>
      <c r="O20" s="56">
        <f>+V23</f>
        <v>574.13229999999999</v>
      </c>
      <c r="P20" s="56">
        <f t="shared" ref="P20:P25" si="16">+O20*12</f>
        <v>6889.5875999999998</v>
      </c>
      <c r="Q20" s="56">
        <f>+X23</f>
        <v>1151.1698000000004</v>
      </c>
      <c r="R20" s="56">
        <f t="shared" ref="R20:R25" si="17">+Q20*12</f>
        <v>13814.037600000003</v>
      </c>
      <c r="S20" s="56">
        <f t="shared" ref="S20:S25" si="18">+Q20+O20</f>
        <v>1725.3021000000003</v>
      </c>
      <c r="T20" s="56">
        <f t="shared" ref="T20:T25" si="19">+P20+R20</f>
        <v>20703.625200000002</v>
      </c>
      <c r="U20" s="73" t="s">
        <v>63</v>
      </c>
      <c r="V20" s="71">
        <v>170.1</v>
      </c>
      <c r="W20" s="71">
        <f>+V20+'MAPD PPO'!B12</f>
        <v>370.7</v>
      </c>
      <c r="X20" s="71">
        <f t="shared" ref="X20:X25" si="20">+W20-V20</f>
        <v>200.6</v>
      </c>
    </row>
    <row r="21" spans="1:27" x14ac:dyDescent="0.2">
      <c r="A21" s="58" t="s">
        <v>77</v>
      </c>
      <c r="B21" s="82"/>
      <c r="C21" s="83">
        <f>+W21+W22</f>
        <v>1673.7974000000002</v>
      </c>
      <c r="D21" s="84">
        <f t="shared" si="11"/>
        <v>1363.6174000000001</v>
      </c>
      <c r="E21" s="84">
        <f>V21+V22</f>
        <v>310.18</v>
      </c>
      <c r="F21" s="83">
        <f>E21+50</f>
        <v>360.18</v>
      </c>
      <c r="G21" s="83">
        <f>E21+100</f>
        <v>410.18</v>
      </c>
      <c r="H21" s="56">
        <f>+(D21-X21)*0.867</f>
        <v>1129.7854458000002</v>
      </c>
      <c r="I21" s="56">
        <f>+V21</f>
        <v>310.18</v>
      </c>
      <c r="J21" s="56">
        <f t="shared" si="12"/>
        <v>3722.16</v>
      </c>
      <c r="K21" s="56">
        <f>+X21</f>
        <v>60.519999999999982</v>
      </c>
      <c r="L21" s="56">
        <f t="shared" si="13"/>
        <v>726.23999999999978</v>
      </c>
      <c r="M21" s="56">
        <f t="shared" si="14"/>
        <v>370.7</v>
      </c>
      <c r="N21" s="56">
        <f t="shared" si="15"/>
        <v>4448.3999999999996</v>
      </c>
      <c r="O21" s="56">
        <f>+V22</f>
        <v>0</v>
      </c>
      <c r="P21" s="56">
        <f t="shared" si="16"/>
        <v>0</v>
      </c>
      <c r="Q21" s="56">
        <f>+X22</f>
        <v>1303.0974000000001</v>
      </c>
      <c r="R21" s="56">
        <f t="shared" si="17"/>
        <v>15637.168800000001</v>
      </c>
      <c r="S21" s="56">
        <f t="shared" si="18"/>
        <v>1303.0974000000001</v>
      </c>
      <c r="T21" s="56">
        <f t="shared" si="19"/>
        <v>15637.168800000001</v>
      </c>
      <c r="U21" s="73" t="s">
        <v>65</v>
      </c>
      <c r="V21" s="71">
        <f>'MAPD PPO'!D13+170.1</f>
        <v>310.18</v>
      </c>
      <c r="W21" s="71">
        <f>'MAPD PPO'!B12+170.1</f>
        <v>370.7</v>
      </c>
      <c r="X21" s="71">
        <f t="shared" si="20"/>
        <v>60.519999999999982</v>
      </c>
    </row>
    <row r="22" spans="1:27" x14ac:dyDescent="0.2">
      <c r="A22" s="52" t="s">
        <v>78</v>
      </c>
      <c r="B22" s="36"/>
      <c r="C22" s="53">
        <f>+W20+W24</f>
        <v>1290.8626999999999</v>
      </c>
      <c r="D22" s="54">
        <f t="shared" si="11"/>
        <v>814.55399999999986</v>
      </c>
      <c r="E22" s="54">
        <f>+V24+V20</f>
        <v>476.30870000000004</v>
      </c>
      <c r="F22" s="55">
        <f>+E22+50</f>
        <v>526.30870000000004</v>
      </c>
      <c r="G22" s="53">
        <f>+E22+100</f>
        <v>576.30870000000004</v>
      </c>
      <c r="H22" s="56">
        <f>+(D22-X20)*0.867</f>
        <v>532.29811799999982</v>
      </c>
      <c r="I22" s="56">
        <f>+V20</f>
        <v>170.1</v>
      </c>
      <c r="J22" s="56">
        <f t="shared" si="12"/>
        <v>2041.1999999999998</v>
      </c>
      <c r="K22" s="56">
        <f>+X20</f>
        <v>200.6</v>
      </c>
      <c r="L22" s="56">
        <f t="shared" si="13"/>
        <v>2407.1999999999998</v>
      </c>
      <c r="M22" s="56">
        <f t="shared" si="14"/>
        <v>370.7</v>
      </c>
      <c r="N22" s="56">
        <f t="shared" si="15"/>
        <v>4448.3999999999996</v>
      </c>
      <c r="O22" s="56">
        <f>+V24</f>
        <v>306.20870000000002</v>
      </c>
      <c r="P22" s="56">
        <f t="shared" si="16"/>
        <v>3674.5044000000003</v>
      </c>
      <c r="Q22" s="56">
        <f>+X24</f>
        <v>613.95399999999984</v>
      </c>
      <c r="R22" s="56">
        <f t="shared" si="17"/>
        <v>7367.4479999999985</v>
      </c>
      <c r="S22" s="56">
        <f t="shared" si="18"/>
        <v>920.16269999999986</v>
      </c>
      <c r="T22" s="56">
        <f t="shared" si="19"/>
        <v>11041.952399999998</v>
      </c>
      <c r="U22" s="73" t="s">
        <v>71</v>
      </c>
      <c r="V22" s="71">
        <v>0</v>
      </c>
      <c r="W22" s="71">
        <f>'NonMC ConsumerChoice'!B13</f>
        <v>1303.0974000000001</v>
      </c>
      <c r="X22" s="71">
        <f t="shared" si="20"/>
        <v>1303.0974000000001</v>
      </c>
    </row>
    <row r="23" spans="1:27" x14ac:dyDescent="0.2">
      <c r="A23" s="52" t="s">
        <v>79</v>
      </c>
      <c r="B23" s="36"/>
      <c r="C23" s="53">
        <f>+W20+W25</f>
        <v>2958.6358999999993</v>
      </c>
      <c r="D23" s="54">
        <f t="shared" si="11"/>
        <v>1927.3425999999993</v>
      </c>
      <c r="E23" s="54">
        <f>+V25+V20</f>
        <v>1031.2933</v>
      </c>
      <c r="F23" s="55">
        <f>+E23+50</f>
        <v>1081.2933</v>
      </c>
      <c r="G23" s="53">
        <f>+E23+100</f>
        <v>1131.2933</v>
      </c>
      <c r="H23" s="56">
        <f>+(D23-X20)*0.867</f>
        <v>1497.0858341999995</v>
      </c>
      <c r="I23" s="56">
        <f>+V20</f>
        <v>170.1</v>
      </c>
      <c r="J23" s="56">
        <f t="shared" si="12"/>
        <v>2041.1999999999998</v>
      </c>
      <c r="K23" s="56">
        <f>+X20</f>
        <v>200.6</v>
      </c>
      <c r="L23" s="56">
        <f t="shared" si="13"/>
        <v>2407.1999999999998</v>
      </c>
      <c r="M23" s="56">
        <f t="shared" si="14"/>
        <v>370.7</v>
      </c>
      <c r="N23" s="56">
        <f t="shared" si="15"/>
        <v>4448.3999999999996</v>
      </c>
      <c r="O23" s="56">
        <f>+V25</f>
        <v>861.19330000000002</v>
      </c>
      <c r="P23" s="56">
        <f t="shared" si="16"/>
        <v>10334.319600000001</v>
      </c>
      <c r="Q23" s="56">
        <f>+X25</f>
        <v>1726.7425999999996</v>
      </c>
      <c r="R23" s="56">
        <f t="shared" si="17"/>
        <v>20720.911199999995</v>
      </c>
      <c r="S23" s="56">
        <f t="shared" si="18"/>
        <v>2587.9358999999995</v>
      </c>
      <c r="T23" s="56">
        <f t="shared" si="19"/>
        <v>31055.230799999998</v>
      </c>
      <c r="U23" s="73" t="s">
        <v>67</v>
      </c>
      <c r="V23" s="71">
        <f>'NonMC ConsumerChoice'!D14-'NonMC ConsumerChoice'!D13</f>
        <v>574.13229999999999</v>
      </c>
      <c r="W23" s="71">
        <f>'NonMC ConsumerChoice'!B14-'NonMC ConsumerChoice'!B13</f>
        <v>1725.3021000000003</v>
      </c>
      <c r="X23" s="71">
        <f t="shared" si="20"/>
        <v>1151.1698000000004</v>
      </c>
      <c r="Y23">
        <f t="shared" ref="Y23:AA25" si="21">+V23*12</f>
        <v>6889.5875999999998</v>
      </c>
      <c r="Z23">
        <f t="shared" si="21"/>
        <v>20703.625200000002</v>
      </c>
      <c r="AA23">
        <f t="shared" si="21"/>
        <v>13814.037600000003</v>
      </c>
    </row>
    <row r="24" spans="1:27" x14ac:dyDescent="0.2">
      <c r="A24" s="58" t="s">
        <v>80</v>
      </c>
      <c r="B24" s="82"/>
      <c r="C24" s="83">
        <f>+W21+W22+W24</f>
        <v>2593.9601000000002</v>
      </c>
      <c r="D24" s="84">
        <f t="shared" si="11"/>
        <v>1977.5714000000003</v>
      </c>
      <c r="E24" s="84">
        <f>+V24+V21+V22</f>
        <v>616.38869999999997</v>
      </c>
      <c r="F24" s="83">
        <f>E24+50</f>
        <v>666.38869999999997</v>
      </c>
      <c r="G24" s="83">
        <f>E24+100</f>
        <v>716.38869999999997</v>
      </c>
      <c r="H24" s="55">
        <f>+(D24-X21)*0.867</f>
        <v>1662.0835638000003</v>
      </c>
      <c r="I24" s="55">
        <f>+V21</f>
        <v>310.18</v>
      </c>
      <c r="J24" s="56">
        <f t="shared" si="12"/>
        <v>3722.16</v>
      </c>
      <c r="K24" s="55">
        <f>+X21</f>
        <v>60.519999999999982</v>
      </c>
      <c r="L24" s="56">
        <f t="shared" si="13"/>
        <v>726.23999999999978</v>
      </c>
      <c r="M24" s="56">
        <f t="shared" si="14"/>
        <v>370.7</v>
      </c>
      <c r="N24" s="56">
        <f t="shared" si="15"/>
        <v>4448.3999999999996</v>
      </c>
      <c r="O24" s="55">
        <f>+V22+V24</f>
        <v>306.20870000000002</v>
      </c>
      <c r="P24" s="56">
        <f t="shared" si="16"/>
        <v>3674.5044000000003</v>
      </c>
      <c r="Q24" s="55">
        <f>+X22+X24</f>
        <v>1917.0513999999998</v>
      </c>
      <c r="R24" s="56">
        <f t="shared" si="17"/>
        <v>23004.616799999996</v>
      </c>
      <c r="S24" s="56">
        <f t="shared" si="18"/>
        <v>2223.2601</v>
      </c>
      <c r="T24" s="56">
        <f t="shared" si="19"/>
        <v>26679.121199999998</v>
      </c>
      <c r="U24" s="73" t="s">
        <v>68</v>
      </c>
      <c r="V24" s="80">
        <f>'NonMC ConsumerChoice'!D15-'NonMC ConsumerChoice'!D13</f>
        <v>306.20870000000002</v>
      </c>
      <c r="W24" s="71">
        <f>'NonMC ConsumerChoice'!B15-'NonMC ConsumerChoice'!B13</f>
        <v>920.16269999999986</v>
      </c>
      <c r="X24" s="71">
        <f t="shared" si="20"/>
        <v>613.95399999999984</v>
      </c>
      <c r="Y24">
        <f t="shared" si="21"/>
        <v>3674.5044000000003</v>
      </c>
      <c r="Z24">
        <f t="shared" si="21"/>
        <v>11041.952399999998</v>
      </c>
      <c r="AA24">
        <f t="shared" si="21"/>
        <v>7367.4479999999985</v>
      </c>
    </row>
    <row r="25" spans="1:27" x14ac:dyDescent="0.2">
      <c r="A25" s="52" t="s">
        <v>81</v>
      </c>
      <c r="B25" s="36"/>
      <c r="C25" s="53">
        <f>+W20+W21+W24</f>
        <v>1661.5626999999999</v>
      </c>
      <c r="D25" s="54">
        <f t="shared" si="11"/>
        <v>875.07399999999996</v>
      </c>
      <c r="E25" s="54">
        <f>+V24+V21+V20</f>
        <v>786.48869999999999</v>
      </c>
      <c r="F25" s="55">
        <f>+E25+50</f>
        <v>836.48869999999999</v>
      </c>
      <c r="G25" s="53">
        <f>+E25+100</f>
        <v>886.48869999999999</v>
      </c>
      <c r="H25" s="55">
        <f>+(D25-X20-X20)*0.867</f>
        <v>410.84875799999992</v>
      </c>
      <c r="I25" s="55">
        <f>+V20+V21</f>
        <v>480.28</v>
      </c>
      <c r="J25" s="56">
        <f t="shared" si="12"/>
        <v>5763.36</v>
      </c>
      <c r="K25" s="55">
        <f>+X20+X21</f>
        <v>261.12</v>
      </c>
      <c r="L25" s="56">
        <f t="shared" si="13"/>
        <v>3133.44</v>
      </c>
      <c r="M25" s="56">
        <f t="shared" si="14"/>
        <v>741.4</v>
      </c>
      <c r="N25" s="56">
        <f t="shared" si="15"/>
        <v>8896.7999999999993</v>
      </c>
      <c r="O25" s="55">
        <f>+V24</f>
        <v>306.20870000000002</v>
      </c>
      <c r="P25" s="56">
        <f t="shared" si="16"/>
        <v>3674.5044000000003</v>
      </c>
      <c r="Q25" s="55">
        <f>+X24</f>
        <v>613.95399999999984</v>
      </c>
      <c r="R25" s="56">
        <f t="shared" si="17"/>
        <v>7367.4479999999985</v>
      </c>
      <c r="S25" s="56">
        <f t="shared" si="18"/>
        <v>920.16269999999986</v>
      </c>
      <c r="T25" s="56">
        <f t="shared" si="19"/>
        <v>11041.952399999998</v>
      </c>
      <c r="U25" s="74" t="s">
        <v>69</v>
      </c>
      <c r="V25" s="80">
        <f>'NonMC ConsumerChoice'!D16-'NonMC ConsumerChoice'!D13</f>
        <v>861.19330000000002</v>
      </c>
      <c r="W25" s="71">
        <f>'NonMC ConsumerChoice'!B16-'NonMC ConsumerChoice'!B13</f>
        <v>2587.9358999999995</v>
      </c>
      <c r="X25" s="71">
        <f t="shared" si="20"/>
        <v>1726.7425999999996</v>
      </c>
      <c r="Y25">
        <f t="shared" si="21"/>
        <v>10334.319600000001</v>
      </c>
      <c r="Z25">
        <f t="shared" si="21"/>
        <v>31055.230799999994</v>
      </c>
      <c r="AA25">
        <f t="shared" si="21"/>
        <v>20720.911199999995</v>
      </c>
    </row>
    <row r="26" spans="1:27" x14ac:dyDescent="0.2">
      <c r="A26" s="61"/>
      <c r="B26" s="43"/>
      <c r="C26" s="53"/>
      <c r="D26" s="53"/>
      <c r="E26" s="53"/>
      <c r="F26" s="36"/>
      <c r="G26" s="36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36"/>
      <c r="V26" s="71"/>
      <c r="W26" s="71"/>
      <c r="X26" s="36"/>
    </row>
    <row r="27" spans="1:27" x14ac:dyDescent="0.2">
      <c r="A27" s="61"/>
      <c r="B27" s="36"/>
      <c r="C27" s="53"/>
      <c r="D27" s="54"/>
      <c r="E27" s="54"/>
      <c r="F27" s="59"/>
      <c r="G27" s="36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36"/>
      <c r="V27" s="71">
        <f>+V24+V21</f>
        <v>616.38869999999997</v>
      </c>
      <c r="W27" s="71">
        <f>+W24+W21</f>
        <v>1290.8626999999999</v>
      </c>
      <c r="X27" s="71">
        <f>+X24+X21</f>
        <v>674.47399999999982</v>
      </c>
    </row>
  </sheetData>
  <mergeCells count="1">
    <mergeCell ref="H5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Active</vt:lpstr>
      <vt:lpstr>COBRA</vt:lpstr>
      <vt:lpstr>NonMCHealth Center</vt:lpstr>
      <vt:lpstr>NonMC ConsumerChoice</vt:lpstr>
      <vt:lpstr>MAPD PPO</vt:lpstr>
      <vt:lpstr>MAPD Split Health Center</vt:lpstr>
      <vt:lpstr>MAPD Split CCP</vt:lpstr>
      <vt:lpstr>Split City Pays A andor B</vt:lpstr>
      <vt:lpstr>'MAPD Split CCP'!Print_Area</vt:lpstr>
      <vt:lpstr>'MAPD Split Health Center'!Print_Area</vt:lpstr>
      <vt:lpstr>'MAPD Split CCP'!Print_Titles</vt:lpstr>
      <vt:lpstr>'MAPD Split Health Center'!Print_Titles</vt:lpstr>
      <vt:lpstr>'NonMC ConsumerChoice'!Print_Titles</vt:lpstr>
      <vt:lpstr>'NonMCHealth Center'!Print_Titles</vt:lpstr>
    </vt:vector>
  </TitlesOfParts>
  <Company>City of Fort Worth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grayma</dc:creator>
  <cp:lastModifiedBy>Hinton, Joanne</cp:lastModifiedBy>
  <cp:lastPrinted>2022-08-30T14:53:26Z</cp:lastPrinted>
  <dcterms:created xsi:type="dcterms:W3CDTF">2010-07-29T17:38:55Z</dcterms:created>
  <dcterms:modified xsi:type="dcterms:W3CDTF">2024-08-30T21:59:24Z</dcterms:modified>
</cp:coreProperties>
</file>